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1\сметы кинопарк\ТО Кинопарк с 01.09. по 31.12\"/>
    </mc:Choice>
  </mc:AlternateContent>
  <xr:revisionPtr revIDLastSave="0" documentId="13_ncr:1_{7177FFD3-FEAA-44FB-9EF9-B1B38CC9F8BE}" xr6:coauthVersionLast="47" xr6:coauthVersionMax="47" xr10:uidLastSave="{00000000-0000-0000-0000-000000000000}"/>
  <bookViews>
    <workbookView xWindow="6225" yWindow="6225" windowWidth="24645" windowHeight="12495" xr2:uid="{00000000-000D-0000-FFFF-FFFF00000000}"/>
  </bookViews>
  <sheets>
    <sheet name="Смета СН-2012 по гл. 1-5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СН-2012 по гл. 1-5'!$30:$30</definedName>
    <definedName name="_xlnm.Print_Area" localSheetId="0">'Смета СН-2012 по гл. 1-5'!$A$1:$K$821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9" i="6" l="1"/>
  <c r="H816" i="6"/>
  <c r="C819" i="6"/>
  <c r="C816" i="6"/>
  <c r="C813" i="6"/>
  <c r="C812" i="6"/>
  <c r="C811" i="6"/>
  <c r="I801" i="6"/>
  <c r="A799" i="6"/>
  <c r="H793" i="6"/>
  <c r="G793" i="6"/>
  <c r="E793" i="6"/>
  <c r="E792" i="6"/>
  <c r="E791" i="6"/>
  <c r="I790" i="6"/>
  <c r="H790" i="6"/>
  <c r="G790" i="6"/>
  <c r="F790" i="6"/>
  <c r="I789" i="6"/>
  <c r="H789" i="6"/>
  <c r="G789" i="6"/>
  <c r="F789" i="6"/>
  <c r="E788" i="6"/>
  <c r="D788" i="6"/>
  <c r="C788" i="6"/>
  <c r="B788" i="6"/>
  <c r="H786" i="6"/>
  <c r="G786" i="6"/>
  <c r="E786" i="6"/>
  <c r="E785" i="6"/>
  <c r="E784" i="6"/>
  <c r="I783" i="6"/>
  <c r="H783" i="6"/>
  <c r="G783" i="6"/>
  <c r="F783" i="6"/>
  <c r="I782" i="6"/>
  <c r="H782" i="6"/>
  <c r="G782" i="6"/>
  <c r="F782" i="6"/>
  <c r="E781" i="6"/>
  <c r="D781" i="6"/>
  <c r="C781" i="6"/>
  <c r="B781" i="6"/>
  <c r="H779" i="6"/>
  <c r="G779" i="6"/>
  <c r="E779" i="6"/>
  <c r="E778" i="6"/>
  <c r="E777" i="6"/>
  <c r="I776" i="6"/>
  <c r="H776" i="6"/>
  <c r="G776" i="6"/>
  <c r="F776" i="6"/>
  <c r="I775" i="6"/>
  <c r="H775" i="6"/>
  <c r="G775" i="6"/>
  <c r="F775" i="6"/>
  <c r="E774" i="6"/>
  <c r="D774" i="6"/>
  <c r="C774" i="6"/>
  <c r="B774" i="6"/>
  <c r="H772" i="6"/>
  <c r="G772" i="6"/>
  <c r="E772" i="6"/>
  <c r="E771" i="6"/>
  <c r="E770" i="6"/>
  <c r="E769" i="6"/>
  <c r="I768" i="6"/>
  <c r="H768" i="6"/>
  <c r="G768" i="6"/>
  <c r="F768" i="6"/>
  <c r="I767" i="6"/>
  <c r="H767" i="6"/>
  <c r="G767" i="6"/>
  <c r="F767" i="6"/>
  <c r="I766" i="6"/>
  <c r="H766" i="6"/>
  <c r="G766" i="6"/>
  <c r="F766" i="6"/>
  <c r="I765" i="6"/>
  <c r="H765" i="6"/>
  <c r="G765" i="6"/>
  <c r="F765" i="6"/>
  <c r="E764" i="6"/>
  <c r="D764" i="6"/>
  <c r="C764" i="6"/>
  <c r="B764" i="6"/>
  <c r="H762" i="6"/>
  <c r="G762" i="6"/>
  <c r="E762" i="6"/>
  <c r="E761" i="6"/>
  <c r="E760" i="6"/>
  <c r="E759" i="6"/>
  <c r="I758" i="6"/>
  <c r="H758" i="6"/>
  <c r="G758" i="6"/>
  <c r="F758" i="6"/>
  <c r="I757" i="6"/>
  <c r="H757" i="6"/>
  <c r="G757" i="6"/>
  <c r="F757" i="6"/>
  <c r="I756" i="6"/>
  <c r="H756" i="6"/>
  <c r="G756" i="6"/>
  <c r="F756" i="6"/>
  <c r="I755" i="6"/>
  <c r="H755" i="6"/>
  <c r="G755" i="6"/>
  <c r="F755" i="6"/>
  <c r="E754" i="6"/>
  <c r="D754" i="6"/>
  <c r="C754" i="6"/>
  <c r="B754" i="6"/>
  <c r="H752" i="6"/>
  <c r="G752" i="6"/>
  <c r="E752" i="6"/>
  <c r="E751" i="6"/>
  <c r="E750" i="6"/>
  <c r="E749" i="6"/>
  <c r="I748" i="6"/>
  <c r="H748" i="6"/>
  <c r="G748" i="6"/>
  <c r="F748" i="6"/>
  <c r="I747" i="6"/>
  <c r="H747" i="6"/>
  <c r="G747" i="6"/>
  <c r="F747" i="6"/>
  <c r="I746" i="6"/>
  <c r="H746" i="6"/>
  <c r="G746" i="6"/>
  <c r="F746" i="6"/>
  <c r="I745" i="6"/>
  <c r="H745" i="6"/>
  <c r="G745" i="6"/>
  <c r="F745" i="6"/>
  <c r="E744" i="6"/>
  <c r="D744" i="6"/>
  <c r="C744" i="6"/>
  <c r="B744" i="6"/>
  <c r="H742" i="6"/>
  <c r="G742" i="6"/>
  <c r="E742" i="6"/>
  <c r="E741" i="6"/>
  <c r="E740" i="6"/>
  <c r="I739" i="6"/>
  <c r="H739" i="6"/>
  <c r="G739" i="6"/>
  <c r="F739" i="6"/>
  <c r="I738" i="6"/>
  <c r="H738" i="6"/>
  <c r="G738" i="6"/>
  <c r="F738" i="6"/>
  <c r="E737" i="6"/>
  <c r="D737" i="6"/>
  <c r="C737" i="6"/>
  <c r="B737" i="6"/>
  <c r="H735" i="6"/>
  <c r="G735" i="6"/>
  <c r="E735" i="6"/>
  <c r="E734" i="6"/>
  <c r="E733" i="6"/>
  <c r="I732" i="6"/>
  <c r="H732" i="6"/>
  <c r="G732" i="6"/>
  <c r="F732" i="6"/>
  <c r="I731" i="6"/>
  <c r="H731" i="6"/>
  <c r="G731" i="6"/>
  <c r="F731" i="6"/>
  <c r="E730" i="6"/>
  <c r="D730" i="6"/>
  <c r="C730" i="6"/>
  <c r="B730" i="6"/>
  <c r="A729" i="6"/>
  <c r="A727" i="6"/>
  <c r="A725" i="6"/>
  <c r="H713" i="6"/>
  <c r="G713" i="6"/>
  <c r="E713" i="6"/>
  <c r="E712" i="6"/>
  <c r="E711" i="6"/>
  <c r="I710" i="6"/>
  <c r="H710" i="6"/>
  <c r="G710" i="6"/>
  <c r="F710" i="6"/>
  <c r="I709" i="6"/>
  <c r="H709" i="6"/>
  <c r="G709" i="6"/>
  <c r="F709" i="6"/>
  <c r="E708" i="6"/>
  <c r="D708" i="6"/>
  <c r="C708" i="6"/>
  <c r="B708" i="6"/>
  <c r="H706" i="6"/>
  <c r="G706" i="6"/>
  <c r="E706" i="6"/>
  <c r="E705" i="6"/>
  <c r="E704" i="6"/>
  <c r="I703" i="6"/>
  <c r="H703" i="6"/>
  <c r="G703" i="6"/>
  <c r="F703" i="6"/>
  <c r="I702" i="6"/>
  <c r="H702" i="6"/>
  <c r="G702" i="6"/>
  <c r="F702" i="6"/>
  <c r="D700" i="6"/>
  <c r="C700" i="6"/>
  <c r="B700" i="6"/>
  <c r="H698" i="6"/>
  <c r="G698" i="6"/>
  <c r="E698" i="6"/>
  <c r="E697" i="6"/>
  <c r="E696" i="6"/>
  <c r="I695" i="6"/>
  <c r="H695" i="6"/>
  <c r="G695" i="6"/>
  <c r="F695" i="6"/>
  <c r="I694" i="6"/>
  <c r="H694" i="6"/>
  <c r="G694" i="6"/>
  <c r="F694" i="6"/>
  <c r="E693" i="6"/>
  <c r="D693" i="6"/>
  <c r="C693" i="6"/>
  <c r="B693" i="6"/>
  <c r="H691" i="6"/>
  <c r="G691" i="6"/>
  <c r="E691" i="6"/>
  <c r="E690" i="6"/>
  <c r="E689" i="6"/>
  <c r="I688" i="6"/>
  <c r="H688" i="6"/>
  <c r="G688" i="6"/>
  <c r="F688" i="6"/>
  <c r="E687" i="6"/>
  <c r="D687" i="6"/>
  <c r="C687" i="6"/>
  <c r="B687" i="6"/>
  <c r="H685" i="6"/>
  <c r="G685" i="6"/>
  <c r="E685" i="6"/>
  <c r="E684" i="6"/>
  <c r="E683" i="6"/>
  <c r="E682" i="6"/>
  <c r="I681" i="6"/>
  <c r="H681" i="6"/>
  <c r="G681" i="6"/>
  <c r="F681" i="6"/>
  <c r="I680" i="6"/>
  <c r="H680" i="6"/>
  <c r="G680" i="6"/>
  <c r="F680" i="6"/>
  <c r="I679" i="6"/>
  <c r="H679" i="6"/>
  <c r="G679" i="6"/>
  <c r="F679" i="6"/>
  <c r="I678" i="6"/>
  <c r="H678" i="6"/>
  <c r="G678" i="6"/>
  <c r="F678" i="6"/>
  <c r="E677" i="6"/>
  <c r="D677" i="6"/>
  <c r="C677" i="6"/>
  <c r="B677" i="6"/>
  <c r="H675" i="6"/>
  <c r="G675" i="6"/>
  <c r="E675" i="6"/>
  <c r="E674" i="6"/>
  <c r="E673" i="6"/>
  <c r="E672" i="6"/>
  <c r="I671" i="6"/>
  <c r="H671" i="6"/>
  <c r="G671" i="6"/>
  <c r="F671" i="6"/>
  <c r="I670" i="6"/>
  <c r="H670" i="6"/>
  <c r="G670" i="6"/>
  <c r="F670" i="6"/>
  <c r="I669" i="6"/>
  <c r="H669" i="6"/>
  <c r="G669" i="6"/>
  <c r="F669" i="6"/>
  <c r="I668" i="6"/>
  <c r="H668" i="6"/>
  <c r="G668" i="6"/>
  <c r="F668" i="6"/>
  <c r="E667" i="6"/>
  <c r="D667" i="6"/>
  <c r="C667" i="6"/>
  <c r="B667" i="6"/>
  <c r="H665" i="6"/>
  <c r="G665" i="6"/>
  <c r="E665" i="6"/>
  <c r="E664" i="6"/>
  <c r="E663" i="6"/>
  <c r="I662" i="6"/>
  <c r="H662" i="6"/>
  <c r="G662" i="6"/>
  <c r="F662" i="6"/>
  <c r="E661" i="6"/>
  <c r="D661" i="6"/>
  <c r="C661" i="6"/>
  <c r="B661" i="6"/>
  <c r="H659" i="6"/>
  <c r="G659" i="6"/>
  <c r="E659" i="6"/>
  <c r="E658" i="6"/>
  <c r="E657" i="6"/>
  <c r="I656" i="6"/>
  <c r="H656" i="6"/>
  <c r="G656" i="6"/>
  <c r="F656" i="6"/>
  <c r="I655" i="6"/>
  <c r="H655" i="6"/>
  <c r="G655" i="6"/>
  <c r="F655" i="6"/>
  <c r="E654" i="6"/>
  <c r="D654" i="6"/>
  <c r="C654" i="6"/>
  <c r="B654" i="6"/>
  <c r="H652" i="6"/>
  <c r="G652" i="6"/>
  <c r="E652" i="6"/>
  <c r="E651" i="6"/>
  <c r="E650" i="6"/>
  <c r="I649" i="6"/>
  <c r="H649" i="6"/>
  <c r="G649" i="6"/>
  <c r="F649" i="6"/>
  <c r="I648" i="6"/>
  <c r="H648" i="6"/>
  <c r="G648" i="6"/>
  <c r="F648" i="6"/>
  <c r="E647" i="6"/>
  <c r="D647" i="6"/>
  <c r="C647" i="6"/>
  <c r="B647" i="6"/>
  <c r="H645" i="6"/>
  <c r="G645" i="6"/>
  <c r="E645" i="6"/>
  <c r="E644" i="6"/>
  <c r="E643" i="6"/>
  <c r="I642" i="6"/>
  <c r="H642" i="6"/>
  <c r="G642" i="6"/>
  <c r="F642" i="6"/>
  <c r="I641" i="6"/>
  <c r="H641" i="6"/>
  <c r="G641" i="6"/>
  <c r="F641" i="6"/>
  <c r="E640" i="6"/>
  <c r="D640" i="6"/>
  <c r="C640" i="6"/>
  <c r="B640" i="6"/>
  <c r="H638" i="6"/>
  <c r="G638" i="6"/>
  <c r="E638" i="6"/>
  <c r="E637" i="6"/>
  <c r="E636" i="6"/>
  <c r="I635" i="6"/>
  <c r="H635" i="6"/>
  <c r="G635" i="6"/>
  <c r="F635" i="6"/>
  <c r="I634" i="6"/>
  <c r="H634" i="6"/>
  <c r="G634" i="6"/>
  <c r="F634" i="6"/>
  <c r="D632" i="6"/>
  <c r="C632" i="6"/>
  <c r="B632" i="6"/>
  <c r="H630" i="6"/>
  <c r="G630" i="6"/>
  <c r="E630" i="6"/>
  <c r="E629" i="6"/>
  <c r="E628" i="6"/>
  <c r="I627" i="6"/>
  <c r="H627" i="6"/>
  <c r="G627" i="6"/>
  <c r="F627" i="6"/>
  <c r="D625" i="6"/>
  <c r="C625" i="6"/>
  <c r="B625" i="6"/>
  <c r="H623" i="6"/>
  <c r="G623" i="6"/>
  <c r="E623" i="6"/>
  <c r="E622" i="6"/>
  <c r="E621" i="6"/>
  <c r="I620" i="6"/>
  <c r="H620" i="6"/>
  <c r="G620" i="6"/>
  <c r="F620" i="6"/>
  <c r="I619" i="6"/>
  <c r="H619" i="6"/>
  <c r="G619" i="6"/>
  <c r="F619" i="6"/>
  <c r="E618" i="6"/>
  <c r="D618" i="6"/>
  <c r="C618" i="6"/>
  <c r="B618" i="6"/>
  <c r="H616" i="6"/>
  <c r="G616" i="6"/>
  <c r="E616" i="6"/>
  <c r="E615" i="6"/>
  <c r="E614" i="6"/>
  <c r="I613" i="6"/>
  <c r="H613" i="6"/>
  <c r="G613" i="6"/>
  <c r="F613" i="6"/>
  <c r="I612" i="6"/>
  <c r="H612" i="6"/>
  <c r="G612" i="6"/>
  <c r="F612" i="6"/>
  <c r="E611" i="6"/>
  <c r="D611" i="6"/>
  <c r="C611" i="6"/>
  <c r="B611" i="6"/>
  <c r="H609" i="6"/>
  <c r="G609" i="6"/>
  <c r="E609" i="6"/>
  <c r="E608" i="6"/>
  <c r="E607" i="6"/>
  <c r="I606" i="6"/>
  <c r="H606" i="6"/>
  <c r="G606" i="6"/>
  <c r="F606" i="6"/>
  <c r="I605" i="6"/>
  <c r="H605" i="6"/>
  <c r="G605" i="6"/>
  <c r="F605" i="6"/>
  <c r="E604" i="6"/>
  <c r="D604" i="6"/>
  <c r="C604" i="6"/>
  <c r="B604" i="6"/>
  <c r="H602" i="6"/>
  <c r="G602" i="6"/>
  <c r="E602" i="6"/>
  <c r="E601" i="6"/>
  <c r="E600" i="6"/>
  <c r="I599" i="6"/>
  <c r="H599" i="6"/>
  <c r="G599" i="6"/>
  <c r="F599" i="6"/>
  <c r="I598" i="6"/>
  <c r="H598" i="6"/>
  <c r="G598" i="6"/>
  <c r="F598" i="6"/>
  <c r="E597" i="6"/>
  <c r="D597" i="6"/>
  <c r="C597" i="6"/>
  <c r="B597" i="6"/>
  <c r="H595" i="6"/>
  <c r="G595" i="6"/>
  <c r="E595" i="6"/>
  <c r="E594" i="6"/>
  <c r="E593" i="6"/>
  <c r="I592" i="6"/>
  <c r="H592" i="6"/>
  <c r="G592" i="6"/>
  <c r="F592" i="6"/>
  <c r="I591" i="6"/>
  <c r="H591" i="6"/>
  <c r="G591" i="6"/>
  <c r="F591" i="6"/>
  <c r="E590" i="6"/>
  <c r="D590" i="6"/>
  <c r="C590" i="6"/>
  <c r="B590" i="6"/>
  <c r="A589" i="6"/>
  <c r="H583" i="6"/>
  <c r="G583" i="6"/>
  <c r="E583" i="6"/>
  <c r="E582" i="6"/>
  <c r="E581" i="6"/>
  <c r="I580" i="6"/>
  <c r="H580" i="6"/>
  <c r="G580" i="6"/>
  <c r="F580" i="6"/>
  <c r="D579" i="6"/>
  <c r="C579" i="6"/>
  <c r="B579" i="6"/>
  <c r="H577" i="6"/>
  <c r="G577" i="6"/>
  <c r="E577" i="6"/>
  <c r="E576" i="6"/>
  <c r="E575" i="6"/>
  <c r="I574" i="6"/>
  <c r="H574" i="6"/>
  <c r="G574" i="6"/>
  <c r="F574" i="6"/>
  <c r="D572" i="6"/>
  <c r="C572" i="6"/>
  <c r="B572" i="6"/>
  <c r="H570" i="6"/>
  <c r="G570" i="6"/>
  <c r="E570" i="6"/>
  <c r="E569" i="6"/>
  <c r="E568" i="6"/>
  <c r="I567" i="6"/>
  <c r="H567" i="6"/>
  <c r="G567" i="6"/>
  <c r="F567" i="6"/>
  <c r="I566" i="6"/>
  <c r="H566" i="6"/>
  <c r="G566" i="6"/>
  <c r="F566" i="6"/>
  <c r="D564" i="6"/>
  <c r="C564" i="6"/>
  <c r="B564" i="6"/>
  <c r="H562" i="6"/>
  <c r="G562" i="6"/>
  <c r="E562" i="6"/>
  <c r="E561" i="6"/>
  <c r="E560" i="6"/>
  <c r="I559" i="6"/>
  <c r="H559" i="6"/>
  <c r="G559" i="6"/>
  <c r="F559" i="6"/>
  <c r="I558" i="6"/>
  <c r="H558" i="6"/>
  <c r="G558" i="6"/>
  <c r="F558" i="6"/>
  <c r="D557" i="6"/>
  <c r="C557" i="6"/>
  <c r="B557" i="6"/>
  <c r="H555" i="6"/>
  <c r="G555" i="6"/>
  <c r="E555" i="6"/>
  <c r="E554" i="6"/>
  <c r="E553" i="6"/>
  <c r="I552" i="6"/>
  <c r="H552" i="6"/>
  <c r="G552" i="6"/>
  <c r="F552" i="6"/>
  <c r="I551" i="6"/>
  <c r="H551" i="6"/>
  <c r="G551" i="6"/>
  <c r="F551" i="6"/>
  <c r="D550" i="6"/>
  <c r="C550" i="6"/>
  <c r="B550" i="6"/>
  <c r="H548" i="6"/>
  <c r="G548" i="6"/>
  <c r="E548" i="6"/>
  <c r="E547" i="6"/>
  <c r="E546" i="6"/>
  <c r="I545" i="6"/>
  <c r="H545" i="6"/>
  <c r="G545" i="6"/>
  <c r="F545" i="6"/>
  <c r="D544" i="6"/>
  <c r="C544" i="6"/>
  <c r="B544" i="6"/>
  <c r="H542" i="6"/>
  <c r="G542" i="6"/>
  <c r="E542" i="6"/>
  <c r="E541" i="6"/>
  <c r="E540" i="6"/>
  <c r="I539" i="6"/>
  <c r="H539" i="6"/>
  <c r="G539" i="6"/>
  <c r="F539" i="6"/>
  <c r="I538" i="6"/>
  <c r="H538" i="6"/>
  <c r="G538" i="6"/>
  <c r="F538" i="6"/>
  <c r="D537" i="6"/>
  <c r="C537" i="6"/>
  <c r="B537" i="6"/>
  <c r="B536" i="6"/>
  <c r="H533" i="6"/>
  <c r="G533" i="6"/>
  <c r="E533" i="6"/>
  <c r="E532" i="6"/>
  <c r="E531" i="6"/>
  <c r="E530" i="6"/>
  <c r="I529" i="6"/>
  <c r="H529" i="6"/>
  <c r="G529" i="6"/>
  <c r="F529" i="6"/>
  <c r="I528" i="6"/>
  <c r="H528" i="6"/>
  <c r="G528" i="6"/>
  <c r="F528" i="6"/>
  <c r="I527" i="6"/>
  <c r="H527" i="6"/>
  <c r="G527" i="6"/>
  <c r="F527" i="6"/>
  <c r="I526" i="6"/>
  <c r="H526" i="6"/>
  <c r="G526" i="6"/>
  <c r="F526" i="6"/>
  <c r="E525" i="6"/>
  <c r="D525" i="6"/>
  <c r="C525" i="6"/>
  <c r="B525" i="6"/>
  <c r="H523" i="6"/>
  <c r="G523" i="6"/>
  <c r="E523" i="6"/>
  <c r="E522" i="6"/>
  <c r="E521" i="6"/>
  <c r="I520" i="6"/>
  <c r="H520" i="6"/>
  <c r="G520" i="6"/>
  <c r="F520" i="6"/>
  <c r="D518" i="6"/>
  <c r="C518" i="6"/>
  <c r="B518" i="6"/>
  <c r="A517" i="6"/>
  <c r="A515" i="6"/>
  <c r="A513" i="6"/>
  <c r="H504" i="6"/>
  <c r="G504" i="6"/>
  <c r="E504" i="6"/>
  <c r="E503" i="6"/>
  <c r="E502" i="6"/>
  <c r="I501" i="6"/>
  <c r="H501" i="6"/>
  <c r="G501" i="6"/>
  <c r="F501" i="6"/>
  <c r="E500" i="6"/>
  <c r="D500" i="6"/>
  <c r="C500" i="6"/>
  <c r="B500" i="6"/>
  <c r="H498" i="6"/>
  <c r="G498" i="6"/>
  <c r="E498" i="6"/>
  <c r="E497" i="6"/>
  <c r="E496" i="6"/>
  <c r="E495" i="6"/>
  <c r="I494" i="6"/>
  <c r="H494" i="6"/>
  <c r="G494" i="6"/>
  <c r="F494" i="6"/>
  <c r="I493" i="6"/>
  <c r="H493" i="6"/>
  <c r="G493" i="6"/>
  <c r="F493" i="6"/>
  <c r="I492" i="6"/>
  <c r="H492" i="6"/>
  <c r="G492" i="6"/>
  <c r="F492" i="6"/>
  <c r="E491" i="6"/>
  <c r="D491" i="6"/>
  <c r="C491" i="6"/>
  <c r="B491" i="6"/>
  <c r="H489" i="6"/>
  <c r="G489" i="6"/>
  <c r="E489" i="6"/>
  <c r="E488" i="6"/>
  <c r="E487" i="6"/>
  <c r="E486" i="6"/>
  <c r="I485" i="6"/>
  <c r="H485" i="6"/>
  <c r="G485" i="6"/>
  <c r="F485" i="6"/>
  <c r="I484" i="6"/>
  <c r="H484" i="6"/>
  <c r="G484" i="6"/>
  <c r="F484" i="6"/>
  <c r="I483" i="6"/>
  <c r="H483" i="6"/>
  <c r="G483" i="6"/>
  <c r="F483" i="6"/>
  <c r="I482" i="6"/>
  <c r="H482" i="6"/>
  <c r="G482" i="6"/>
  <c r="F482" i="6"/>
  <c r="E481" i="6"/>
  <c r="D481" i="6"/>
  <c r="C481" i="6"/>
  <c r="B481" i="6"/>
  <c r="H479" i="6"/>
  <c r="G479" i="6"/>
  <c r="E479" i="6"/>
  <c r="E478" i="6"/>
  <c r="E477" i="6"/>
  <c r="I476" i="6"/>
  <c r="H476" i="6"/>
  <c r="G476" i="6"/>
  <c r="F476" i="6"/>
  <c r="I475" i="6"/>
  <c r="H475" i="6"/>
  <c r="G475" i="6"/>
  <c r="F475" i="6"/>
  <c r="D473" i="6"/>
  <c r="C473" i="6"/>
  <c r="B473" i="6"/>
  <c r="H471" i="6"/>
  <c r="G471" i="6"/>
  <c r="E471" i="6"/>
  <c r="E470" i="6"/>
  <c r="E469" i="6"/>
  <c r="E468" i="6"/>
  <c r="I467" i="6"/>
  <c r="H467" i="6"/>
  <c r="G467" i="6"/>
  <c r="F467" i="6"/>
  <c r="I466" i="6"/>
  <c r="H466" i="6"/>
  <c r="G466" i="6"/>
  <c r="F466" i="6"/>
  <c r="I465" i="6"/>
  <c r="H465" i="6"/>
  <c r="G465" i="6"/>
  <c r="F465" i="6"/>
  <c r="E464" i="6"/>
  <c r="D464" i="6"/>
  <c r="C464" i="6"/>
  <c r="B464" i="6"/>
  <c r="A463" i="6"/>
  <c r="H457" i="6"/>
  <c r="G457" i="6"/>
  <c r="E457" i="6"/>
  <c r="E456" i="6"/>
  <c r="E455" i="6"/>
  <c r="I454" i="6"/>
  <c r="H454" i="6"/>
  <c r="G454" i="6"/>
  <c r="F454" i="6"/>
  <c r="D452" i="6"/>
  <c r="C452" i="6"/>
  <c r="B452" i="6"/>
  <c r="H450" i="6"/>
  <c r="G450" i="6"/>
  <c r="E450" i="6"/>
  <c r="E449" i="6"/>
  <c r="E448" i="6"/>
  <c r="I447" i="6"/>
  <c r="H447" i="6"/>
  <c r="G447" i="6"/>
  <c r="F447" i="6"/>
  <c r="I446" i="6"/>
  <c r="H446" i="6"/>
  <c r="G446" i="6"/>
  <c r="F446" i="6"/>
  <c r="D444" i="6"/>
  <c r="C444" i="6"/>
  <c r="B444" i="6"/>
  <c r="H442" i="6"/>
  <c r="G442" i="6"/>
  <c r="E442" i="6"/>
  <c r="E441" i="6"/>
  <c r="E440" i="6"/>
  <c r="E439" i="6"/>
  <c r="I438" i="6"/>
  <c r="H438" i="6"/>
  <c r="G438" i="6"/>
  <c r="F438" i="6"/>
  <c r="I437" i="6"/>
  <c r="H437" i="6"/>
  <c r="G437" i="6"/>
  <c r="F437" i="6"/>
  <c r="I436" i="6"/>
  <c r="H436" i="6"/>
  <c r="G436" i="6"/>
  <c r="F436" i="6"/>
  <c r="I435" i="6"/>
  <c r="H435" i="6"/>
  <c r="G435" i="6"/>
  <c r="F435" i="6"/>
  <c r="D433" i="6"/>
  <c r="C433" i="6"/>
  <c r="B433" i="6"/>
  <c r="H431" i="6"/>
  <c r="G431" i="6"/>
  <c r="E431" i="6"/>
  <c r="E430" i="6"/>
  <c r="E429" i="6"/>
  <c r="I428" i="6"/>
  <c r="H428" i="6"/>
  <c r="G428" i="6"/>
  <c r="F428" i="6"/>
  <c r="I427" i="6"/>
  <c r="H427" i="6"/>
  <c r="G427" i="6"/>
  <c r="F427" i="6"/>
  <c r="E426" i="6"/>
  <c r="D426" i="6"/>
  <c r="C426" i="6"/>
  <c r="B426" i="6"/>
  <c r="H424" i="6"/>
  <c r="G424" i="6"/>
  <c r="E424" i="6"/>
  <c r="E423" i="6"/>
  <c r="E422" i="6"/>
  <c r="I421" i="6"/>
  <c r="H421" i="6"/>
  <c r="G421" i="6"/>
  <c r="F421" i="6"/>
  <c r="D419" i="6"/>
  <c r="C419" i="6"/>
  <c r="B419" i="6"/>
  <c r="H417" i="6"/>
  <c r="G417" i="6"/>
  <c r="E417" i="6"/>
  <c r="E416" i="6"/>
  <c r="E415" i="6"/>
  <c r="E414" i="6"/>
  <c r="I413" i="6"/>
  <c r="H413" i="6"/>
  <c r="G413" i="6"/>
  <c r="F413" i="6"/>
  <c r="I412" i="6"/>
  <c r="H412" i="6"/>
  <c r="G412" i="6"/>
  <c r="F412" i="6"/>
  <c r="I411" i="6"/>
  <c r="H411" i="6"/>
  <c r="G411" i="6"/>
  <c r="F411" i="6"/>
  <c r="I410" i="6"/>
  <c r="H410" i="6"/>
  <c r="G410" i="6"/>
  <c r="F410" i="6"/>
  <c r="D408" i="6"/>
  <c r="C408" i="6"/>
  <c r="B408" i="6"/>
  <c r="H406" i="6"/>
  <c r="G406" i="6"/>
  <c r="E406" i="6"/>
  <c r="E405" i="6"/>
  <c r="E404" i="6"/>
  <c r="E403" i="6"/>
  <c r="I402" i="6"/>
  <c r="H402" i="6"/>
  <c r="G402" i="6"/>
  <c r="F402" i="6"/>
  <c r="I401" i="6"/>
  <c r="H401" i="6"/>
  <c r="G401" i="6"/>
  <c r="F401" i="6"/>
  <c r="I400" i="6"/>
  <c r="H400" i="6"/>
  <c r="G400" i="6"/>
  <c r="F400" i="6"/>
  <c r="I399" i="6"/>
  <c r="H399" i="6"/>
  <c r="G399" i="6"/>
  <c r="F399" i="6"/>
  <c r="D397" i="6"/>
  <c r="C397" i="6"/>
  <c r="B397" i="6"/>
  <c r="H395" i="6"/>
  <c r="G395" i="6"/>
  <c r="E395" i="6"/>
  <c r="E394" i="6"/>
  <c r="E393" i="6"/>
  <c r="I392" i="6"/>
  <c r="H392" i="6"/>
  <c r="G392" i="6"/>
  <c r="F392" i="6"/>
  <c r="E391" i="6"/>
  <c r="D391" i="6"/>
  <c r="C391" i="6"/>
  <c r="B391" i="6"/>
  <c r="H389" i="6"/>
  <c r="G389" i="6"/>
  <c r="E389" i="6"/>
  <c r="E388" i="6"/>
  <c r="E387" i="6"/>
  <c r="I386" i="6"/>
  <c r="H386" i="6"/>
  <c r="G386" i="6"/>
  <c r="F386" i="6"/>
  <c r="I385" i="6"/>
  <c r="H385" i="6"/>
  <c r="G385" i="6"/>
  <c r="F385" i="6"/>
  <c r="E384" i="6"/>
  <c r="D384" i="6"/>
  <c r="C384" i="6"/>
  <c r="B384" i="6"/>
  <c r="H382" i="6"/>
  <c r="G382" i="6"/>
  <c r="E382" i="6"/>
  <c r="E381" i="6"/>
  <c r="E380" i="6"/>
  <c r="E379" i="6"/>
  <c r="I378" i="6"/>
  <c r="H378" i="6"/>
  <c r="G378" i="6"/>
  <c r="F378" i="6"/>
  <c r="I377" i="6"/>
  <c r="H377" i="6"/>
  <c r="G377" i="6"/>
  <c r="F377" i="6"/>
  <c r="I376" i="6"/>
  <c r="H376" i="6"/>
  <c r="G376" i="6"/>
  <c r="F376" i="6"/>
  <c r="I375" i="6"/>
  <c r="H375" i="6"/>
  <c r="G375" i="6"/>
  <c r="F375" i="6"/>
  <c r="E374" i="6"/>
  <c r="D374" i="6"/>
  <c r="C374" i="6"/>
  <c r="B374" i="6"/>
  <c r="H372" i="6"/>
  <c r="G372" i="6"/>
  <c r="E372" i="6"/>
  <c r="E371" i="6"/>
  <c r="E370" i="6"/>
  <c r="I369" i="6"/>
  <c r="H369" i="6"/>
  <c r="G369" i="6"/>
  <c r="F369" i="6"/>
  <c r="I368" i="6"/>
  <c r="H368" i="6"/>
  <c r="G368" i="6"/>
  <c r="F368" i="6"/>
  <c r="I367" i="6"/>
  <c r="H367" i="6"/>
  <c r="G367" i="6"/>
  <c r="F367" i="6"/>
  <c r="E366" i="6"/>
  <c r="D366" i="6"/>
  <c r="C366" i="6"/>
  <c r="B366" i="6"/>
  <c r="H364" i="6"/>
  <c r="G364" i="6"/>
  <c r="E364" i="6"/>
  <c r="E363" i="6"/>
  <c r="E362" i="6"/>
  <c r="I361" i="6"/>
  <c r="H361" i="6"/>
  <c r="G361" i="6"/>
  <c r="F361" i="6"/>
  <c r="I360" i="6"/>
  <c r="H360" i="6"/>
  <c r="G360" i="6"/>
  <c r="F360" i="6"/>
  <c r="I359" i="6"/>
  <c r="H359" i="6"/>
  <c r="G359" i="6"/>
  <c r="F359" i="6"/>
  <c r="E358" i="6"/>
  <c r="D358" i="6"/>
  <c r="C358" i="6"/>
  <c r="B358" i="6"/>
  <c r="H356" i="6"/>
  <c r="G356" i="6"/>
  <c r="E356" i="6"/>
  <c r="E355" i="6"/>
  <c r="E354" i="6"/>
  <c r="I353" i="6"/>
  <c r="H353" i="6"/>
  <c r="G353" i="6"/>
  <c r="F353" i="6"/>
  <c r="E352" i="6"/>
  <c r="D352" i="6"/>
  <c r="C352" i="6"/>
  <c r="B352" i="6"/>
  <c r="H350" i="6"/>
  <c r="G350" i="6"/>
  <c r="E350" i="6"/>
  <c r="E349" i="6"/>
  <c r="E348" i="6"/>
  <c r="I347" i="6"/>
  <c r="H347" i="6"/>
  <c r="G347" i="6"/>
  <c r="F347" i="6"/>
  <c r="E346" i="6"/>
  <c r="D346" i="6"/>
  <c r="C346" i="6"/>
  <c r="B346" i="6"/>
  <c r="H344" i="6"/>
  <c r="G344" i="6"/>
  <c r="E344" i="6"/>
  <c r="E343" i="6"/>
  <c r="E342" i="6"/>
  <c r="E341" i="6"/>
  <c r="I340" i="6"/>
  <c r="H340" i="6"/>
  <c r="G340" i="6"/>
  <c r="F340" i="6"/>
  <c r="I339" i="6"/>
  <c r="H339" i="6"/>
  <c r="G339" i="6"/>
  <c r="F339" i="6"/>
  <c r="I338" i="6"/>
  <c r="H338" i="6"/>
  <c r="G338" i="6"/>
  <c r="F338" i="6"/>
  <c r="I337" i="6"/>
  <c r="H337" i="6"/>
  <c r="G337" i="6"/>
  <c r="F337" i="6"/>
  <c r="E336" i="6"/>
  <c r="D336" i="6"/>
  <c r="C336" i="6"/>
  <c r="B336" i="6"/>
  <c r="H334" i="6"/>
  <c r="G334" i="6"/>
  <c r="E334" i="6"/>
  <c r="E333" i="6"/>
  <c r="E332" i="6"/>
  <c r="I331" i="6"/>
  <c r="H331" i="6"/>
  <c r="G331" i="6"/>
  <c r="F331" i="6"/>
  <c r="I330" i="6"/>
  <c r="H330" i="6"/>
  <c r="G330" i="6"/>
  <c r="F330" i="6"/>
  <c r="E329" i="6"/>
  <c r="D329" i="6"/>
  <c r="C329" i="6"/>
  <c r="B329" i="6"/>
  <c r="H327" i="6"/>
  <c r="G327" i="6"/>
  <c r="E327" i="6"/>
  <c r="E326" i="6"/>
  <c r="E325" i="6"/>
  <c r="I324" i="6"/>
  <c r="H324" i="6"/>
  <c r="G324" i="6"/>
  <c r="F324" i="6"/>
  <c r="E323" i="6"/>
  <c r="D323" i="6"/>
  <c r="C323" i="6"/>
  <c r="B323" i="6"/>
  <c r="H321" i="6"/>
  <c r="G321" i="6"/>
  <c r="E321" i="6"/>
  <c r="E320" i="6"/>
  <c r="E319" i="6"/>
  <c r="I318" i="6"/>
  <c r="H318" i="6"/>
  <c r="G318" i="6"/>
  <c r="F318" i="6"/>
  <c r="E317" i="6"/>
  <c r="D317" i="6"/>
  <c r="C317" i="6"/>
  <c r="B317" i="6"/>
  <c r="H315" i="6"/>
  <c r="G315" i="6"/>
  <c r="E315" i="6"/>
  <c r="E314" i="6"/>
  <c r="E313" i="6"/>
  <c r="I312" i="6"/>
  <c r="H312" i="6"/>
  <c r="G312" i="6"/>
  <c r="F312" i="6"/>
  <c r="E311" i="6"/>
  <c r="D311" i="6"/>
  <c r="C311" i="6"/>
  <c r="B311" i="6"/>
  <c r="A310" i="6"/>
  <c r="H304" i="6"/>
  <c r="G304" i="6"/>
  <c r="E304" i="6"/>
  <c r="E303" i="6"/>
  <c r="E302" i="6"/>
  <c r="I301" i="6"/>
  <c r="H301" i="6"/>
  <c r="G301" i="6"/>
  <c r="F301" i="6"/>
  <c r="D299" i="6"/>
  <c r="C299" i="6"/>
  <c r="B299" i="6"/>
  <c r="H297" i="6"/>
  <c r="G297" i="6"/>
  <c r="E297" i="6"/>
  <c r="E296" i="6"/>
  <c r="E295" i="6"/>
  <c r="I294" i="6"/>
  <c r="H294" i="6"/>
  <c r="G294" i="6"/>
  <c r="F294" i="6"/>
  <c r="I293" i="6"/>
  <c r="H293" i="6"/>
  <c r="G293" i="6"/>
  <c r="F293" i="6"/>
  <c r="D291" i="6"/>
  <c r="C291" i="6"/>
  <c r="B291" i="6"/>
  <c r="H289" i="6"/>
  <c r="G289" i="6"/>
  <c r="E289" i="6"/>
  <c r="E288" i="6"/>
  <c r="E287" i="6"/>
  <c r="E286" i="6"/>
  <c r="I285" i="6"/>
  <c r="H285" i="6"/>
  <c r="G285" i="6"/>
  <c r="F285" i="6"/>
  <c r="I284" i="6"/>
  <c r="H284" i="6"/>
  <c r="G284" i="6"/>
  <c r="F284" i="6"/>
  <c r="I283" i="6"/>
  <c r="H283" i="6"/>
  <c r="G283" i="6"/>
  <c r="F283" i="6"/>
  <c r="I282" i="6"/>
  <c r="H282" i="6"/>
  <c r="G282" i="6"/>
  <c r="F282" i="6"/>
  <c r="D280" i="6"/>
  <c r="C280" i="6"/>
  <c r="B280" i="6"/>
  <c r="H278" i="6"/>
  <c r="G278" i="6"/>
  <c r="E278" i="6"/>
  <c r="E277" i="6"/>
  <c r="E276" i="6"/>
  <c r="I275" i="6"/>
  <c r="H275" i="6"/>
  <c r="G275" i="6"/>
  <c r="F275" i="6"/>
  <c r="I274" i="6"/>
  <c r="H274" i="6"/>
  <c r="G274" i="6"/>
  <c r="F274" i="6"/>
  <c r="E273" i="6"/>
  <c r="D273" i="6"/>
  <c r="C273" i="6"/>
  <c r="B273" i="6"/>
  <c r="H271" i="6"/>
  <c r="G271" i="6"/>
  <c r="E271" i="6"/>
  <c r="E270" i="6"/>
  <c r="E269" i="6"/>
  <c r="I268" i="6"/>
  <c r="H268" i="6"/>
  <c r="G268" i="6"/>
  <c r="F268" i="6"/>
  <c r="E267" i="6"/>
  <c r="D267" i="6"/>
  <c r="C267" i="6"/>
  <c r="B267" i="6"/>
  <c r="H265" i="6"/>
  <c r="G265" i="6"/>
  <c r="E265" i="6"/>
  <c r="E264" i="6"/>
  <c r="E263" i="6"/>
  <c r="I262" i="6"/>
  <c r="H262" i="6"/>
  <c r="G262" i="6"/>
  <c r="F262" i="6"/>
  <c r="E261" i="6"/>
  <c r="D261" i="6"/>
  <c r="C261" i="6"/>
  <c r="B261" i="6"/>
  <c r="A260" i="6"/>
  <c r="H254" i="6"/>
  <c r="G254" i="6"/>
  <c r="E254" i="6"/>
  <c r="E253" i="6"/>
  <c r="E252" i="6"/>
  <c r="I251" i="6"/>
  <c r="H251" i="6"/>
  <c r="G251" i="6"/>
  <c r="F251" i="6"/>
  <c r="I250" i="6"/>
  <c r="H250" i="6"/>
  <c r="G250" i="6"/>
  <c r="F250" i="6"/>
  <c r="E249" i="6"/>
  <c r="D249" i="6"/>
  <c r="C249" i="6"/>
  <c r="B249" i="6"/>
  <c r="H247" i="6"/>
  <c r="G247" i="6"/>
  <c r="E247" i="6"/>
  <c r="E246" i="6"/>
  <c r="E245" i="6"/>
  <c r="I244" i="6"/>
  <c r="H244" i="6"/>
  <c r="G244" i="6"/>
  <c r="F244" i="6"/>
  <c r="E243" i="6"/>
  <c r="D243" i="6"/>
  <c r="C243" i="6"/>
  <c r="B243" i="6"/>
  <c r="H241" i="6"/>
  <c r="G241" i="6"/>
  <c r="E241" i="6"/>
  <c r="E240" i="6"/>
  <c r="E239" i="6"/>
  <c r="I238" i="6"/>
  <c r="H238" i="6"/>
  <c r="G238" i="6"/>
  <c r="F238" i="6"/>
  <c r="I237" i="6"/>
  <c r="H237" i="6"/>
  <c r="G237" i="6"/>
  <c r="F237" i="6"/>
  <c r="D235" i="6"/>
  <c r="C235" i="6"/>
  <c r="B235" i="6"/>
  <c r="H233" i="6"/>
  <c r="G233" i="6"/>
  <c r="E233" i="6"/>
  <c r="E232" i="6"/>
  <c r="E231" i="6"/>
  <c r="I230" i="6"/>
  <c r="H230" i="6"/>
  <c r="G230" i="6"/>
  <c r="F230" i="6"/>
  <c r="D228" i="6"/>
  <c r="C228" i="6"/>
  <c r="B228" i="6"/>
  <c r="H226" i="6"/>
  <c r="G226" i="6"/>
  <c r="E226" i="6"/>
  <c r="E225" i="6"/>
  <c r="E224" i="6"/>
  <c r="I223" i="6"/>
  <c r="H223" i="6"/>
  <c r="G223" i="6"/>
  <c r="F223" i="6"/>
  <c r="D221" i="6"/>
  <c r="C221" i="6"/>
  <c r="B221" i="6"/>
  <c r="H219" i="6"/>
  <c r="G219" i="6"/>
  <c r="E219" i="6"/>
  <c r="E218" i="6"/>
  <c r="E217" i="6"/>
  <c r="I216" i="6"/>
  <c r="H216" i="6"/>
  <c r="G216" i="6"/>
  <c r="F216" i="6"/>
  <c r="I215" i="6"/>
  <c r="H215" i="6"/>
  <c r="G215" i="6"/>
  <c r="F215" i="6"/>
  <c r="D213" i="6"/>
  <c r="C213" i="6"/>
  <c r="B213" i="6"/>
  <c r="H211" i="6"/>
  <c r="G211" i="6"/>
  <c r="E211" i="6"/>
  <c r="E210" i="6"/>
  <c r="E209" i="6"/>
  <c r="E208" i="6"/>
  <c r="I207" i="6"/>
  <c r="H207" i="6"/>
  <c r="G207" i="6"/>
  <c r="F207" i="6"/>
  <c r="I206" i="6"/>
  <c r="H206" i="6"/>
  <c r="G206" i="6"/>
  <c r="F206" i="6"/>
  <c r="I205" i="6"/>
  <c r="H205" i="6"/>
  <c r="G205" i="6"/>
  <c r="F205" i="6"/>
  <c r="I204" i="6"/>
  <c r="H204" i="6"/>
  <c r="G204" i="6"/>
  <c r="F204" i="6"/>
  <c r="D202" i="6"/>
  <c r="C202" i="6"/>
  <c r="B202" i="6"/>
  <c r="H200" i="6"/>
  <c r="G200" i="6"/>
  <c r="E200" i="6"/>
  <c r="E199" i="6"/>
  <c r="E198" i="6"/>
  <c r="E197" i="6"/>
  <c r="I196" i="6"/>
  <c r="H196" i="6"/>
  <c r="G196" i="6"/>
  <c r="F196" i="6"/>
  <c r="I195" i="6"/>
  <c r="H195" i="6"/>
  <c r="G195" i="6"/>
  <c r="F195" i="6"/>
  <c r="I194" i="6"/>
  <c r="H194" i="6"/>
  <c r="G194" i="6"/>
  <c r="F194" i="6"/>
  <c r="I193" i="6"/>
  <c r="H193" i="6"/>
  <c r="G193" i="6"/>
  <c r="F193" i="6"/>
  <c r="D191" i="6"/>
  <c r="C191" i="6"/>
  <c r="B191" i="6"/>
  <c r="H189" i="6"/>
  <c r="G189" i="6"/>
  <c r="E189" i="6"/>
  <c r="E188" i="6"/>
  <c r="E187" i="6"/>
  <c r="I186" i="6"/>
  <c r="H186" i="6"/>
  <c r="G186" i="6"/>
  <c r="F186" i="6"/>
  <c r="D184" i="6"/>
  <c r="C184" i="6"/>
  <c r="B184" i="6"/>
  <c r="H182" i="6"/>
  <c r="G182" i="6"/>
  <c r="E182" i="6"/>
  <c r="E181" i="6"/>
  <c r="E180" i="6"/>
  <c r="I179" i="6"/>
  <c r="H179" i="6"/>
  <c r="G179" i="6"/>
  <c r="F179" i="6"/>
  <c r="D177" i="6"/>
  <c r="C177" i="6"/>
  <c r="B177" i="6"/>
  <c r="H175" i="6"/>
  <c r="G175" i="6"/>
  <c r="E175" i="6"/>
  <c r="E174" i="6"/>
  <c r="E173" i="6"/>
  <c r="I172" i="6"/>
  <c r="H172" i="6"/>
  <c r="G172" i="6"/>
  <c r="F172" i="6"/>
  <c r="D170" i="6"/>
  <c r="C170" i="6"/>
  <c r="B170" i="6"/>
  <c r="A169" i="6"/>
  <c r="H163" i="6"/>
  <c r="G163" i="6"/>
  <c r="E163" i="6"/>
  <c r="E162" i="6"/>
  <c r="E161" i="6"/>
  <c r="I160" i="6"/>
  <c r="H160" i="6"/>
  <c r="G160" i="6"/>
  <c r="F160" i="6"/>
  <c r="I159" i="6"/>
  <c r="H159" i="6"/>
  <c r="G159" i="6"/>
  <c r="F159" i="6"/>
  <c r="D157" i="6"/>
  <c r="C157" i="6"/>
  <c r="B157" i="6"/>
  <c r="H155" i="6"/>
  <c r="G155" i="6"/>
  <c r="E155" i="6"/>
  <c r="E154" i="6"/>
  <c r="E153" i="6"/>
  <c r="I152" i="6"/>
  <c r="H152" i="6"/>
  <c r="G152" i="6"/>
  <c r="F152" i="6"/>
  <c r="D150" i="6"/>
  <c r="C150" i="6"/>
  <c r="B150" i="6"/>
  <c r="H148" i="6"/>
  <c r="G148" i="6"/>
  <c r="E148" i="6"/>
  <c r="E147" i="6"/>
  <c r="E146" i="6"/>
  <c r="I145" i="6"/>
  <c r="H145" i="6"/>
  <c r="G145" i="6"/>
  <c r="F145" i="6"/>
  <c r="I144" i="6"/>
  <c r="H144" i="6"/>
  <c r="G144" i="6"/>
  <c r="F144" i="6"/>
  <c r="D142" i="6"/>
  <c r="C142" i="6"/>
  <c r="B142" i="6"/>
  <c r="H140" i="6"/>
  <c r="G140" i="6"/>
  <c r="E140" i="6"/>
  <c r="E139" i="6"/>
  <c r="E138" i="6"/>
  <c r="I137" i="6"/>
  <c r="H137" i="6"/>
  <c r="G137" i="6"/>
  <c r="F137" i="6"/>
  <c r="I136" i="6"/>
  <c r="H136" i="6"/>
  <c r="G136" i="6"/>
  <c r="F136" i="6"/>
  <c r="E135" i="6"/>
  <c r="D135" i="6"/>
  <c r="C135" i="6"/>
  <c r="B135" i="6"/>
  <c r="H133" i="6"/>
  <c r="G133" i="6"/>
  <c r="E133" i="6"/>
  <c r="E132" i="6"/>
  <c r="E131" i="6"/>
  <c r="I130" i="6"/>
  <c r="H130" i="6"/>
  <c r="G130" i="6"/>
  <c r="F130" i="6"/>
  <c r="D128" i="6"/>
  <c r="C128" i="6"/>
  <c r="B128" i="6"/>
  <c r="H126" i="6"/>
  <c r="G126" i="6"/>
  <c r="E126" i="6"/>
  <c r="E125" i="6"/>
  <c r="E124" i="6"/>
  <c r="I123" i="6"/>
  <c r="H123" i="6"/>
  <c r="G123" i="6"/>
  <c r="F123" i="6"/>
  <c r="D121" i="6"/>
  <c r="C121" i="6"/>
  <c r="B121" i="6"/>
  <c r="A120" i="6"/>
  <c r="H114" i="6"/>
  <c r="G114" i="6"/>
  <c r="E114" i="6"/>
  <c r="E113" i="6"/>
  <c r="E112" i="6"/>
  <c r="E111" i="6"/>
  <c r="I110" i="6"/>
  <c r="H110" i="6"/>
  <c r="G110" i="6"/>
  <c r="F110" i="6"/>
  <c r="I109" i="6"/>
  <c r="H109" i="6"/>
  <c r="G109" i="6"/>
  <c r="F109" i="6"/>
  <c r="I108" i="6"/>
  <c r="H108" i="6"/>
  <c r="G108" i="6"/>
  <c r="F108" i="6"/>
  <c r="E107" i="6"/>
  <c r="D107" i="6"/>
  <c r="C107" i="6"/>
  <c r="B107" i="6"/>
  <c r="H105" i="6"/>
  <c r="G105" i="6"/>
  <c r="E105" i="6"/>
  <c r="E104" i="6"/>
  <c r="E103" i="6"/>
  <c r="I102" i="6"/>
  <c r="H102" i="6"/>
  <c r="F102" i="6"/>
  <c r="D102" i="6"/>
  <c r="C102" i="6"/>
  <c r="B102" i="6"/>
  <c r="I101" i="6"/>
  <c r="H101" i="6"/>
  <c r="G101" i="6"/>
  <c r="F101" i="6"/>
  <c r="I100" i="6"/>
  <c r="H100" i="6"/>
  <c r="G100" i="6"/>
  <c r="F100" i="6"/>
  <c r="D98" i="6"/>
  <c r="C98" i="6"/>
  <c r="B98" i="6"/>
  <c r="H96" i="6"/>
  <c r="G96" i="6"/>
  <c r="E96" i="6"/>
  <c r="E95" i="6"/>
  <c r="E94" i="6"/>
  <c r="I93" i="6"/>
  <c r="H93" i="6"/>
  <c r="G93" i="6"/>
  <c r="F93" i="6"/>
  <c r="D91" i="6"/>
  <c r="C91" i="6"/>
  <c r="B91" i="6"/>
  <c r="H89" i="6"/>
  <c r="G89" i="6"/>
  <c r="E89" i="6"/>
  <c r="E88" i="6"/>
  <c r="E87" i="6"/>
  <c r="E86" i="6"/>
  <c r="I85" i="6"/>
  <c r="H85" i="6"/>
  <c r="G85" i="6"/>
  <c r="F85" i="6"/>
  <c r="I84" i="6"/>
  <c r="H84" i="6"/>
  <c r="G84" i="6"/>
  <c r="F84" i="6"/>
  <c r="I83" i="6"/>
  <c r="H83" i="6"/>
  <c r="G83" i="6"/>
  <c r="F83" i="6"/>
  <c r="E82" i="6"/>
  <c r="D82" i="6"/>
  <c r="C82" i="6"/>
  <c r="B82" i="6"/>
  <c r="H80" i="6"/>
  <c r="G80" i="6"/>
  <c r="E80" i="6"/>
  <c r="E79" i="6"/>
  <c r="E78" i="6"/>
  <c r="I77" i="6"/>
  <c r="H77" i="6"/>
  <c r="G77" i="6"/>
  <c r="F77" i="6"/>
  <c r="I76" i="6"/>
  <c r="H76" i="6"/>
  <c r="G76" i="6"/>
  <c r="F76" i="6"/>
  <c r="I75" i="6"/>
  <c r="H75" i="6"/>
  <c r="G75" i="6"/>
  <c r="F75" i="6"/>
  <c r="E74" i="6"/>
  <c r="D74" i="6"/>
  <c r="C74" i="6"/>
  <c r="B74" i="6"/>
  <c r="H72" i="6"/>
  <c r="G72" i="6"/>
  <c r="E72" i="6"/>
  <c r="E71" i="6"/>
  <c r="E70" i="6"/>
  <c r="I69" i="6"/>
  <c r="H69" i="6"/>
  <c r="G69" i="6"/>
  <c r="F69" i="6"/>
  <c r="D67" i="6"/>
  <c r="C67" i="6"/>
  <c r="B67" i="6"/>
  <c r="H65" i="6"/>
  <c r="G65" i="6"/>
  <c r="E65" i="6"/>
  <c r="E64" i="6"/>
  <c r="E63" i="6"/>
  <c r="I62" i="6"/>
  <c r="H62" i="6"/>
  <c r="G62" i="6"/>
  <c r="F62" i="6"/>
  <c r="I61" i="6"/>
  <c r="H61" i="6"/>
  <c r="G61" i="6"/>
  <c r="F61" i="6"/>
  <c r="E60" i="6"/>
  <c r="D60" i="6"/>
  <c r="C60" i="6"/>
  <c r="B60" i="6"/>
  <c r="H58" i="6"/>
  <c r="G58" i="6"/>
  <c r="E58" i="6"/>
  <c r="E57" i="6"/>
  <c r="E56" i="6"/>
  <c r="E55" i="6"/>
  <c r="I54" i="6"/>
  <c r="H54" i="6"/>
  <c r="G54" i="6"/>
  <c r="F54" i="6"/>
  <c r="I53" i="6"/>
  <c r="H53" i="6"/>
  <c r="G53" i="6"/>
  <c r="F53" i="6"/>
  <c r="I52" i="6"/>
  <c r="H52" i="6"/>
  <c r="G52" i="6"/>
  <c r="F52" i="6"/>
  <c r="I51" i="6"/>
  <c r="H51" i="6"/>
  <c r="G51" i="6"/>
  <c r="F51" i="6"/>
  <c r="D49" i="6"/>
  <c r="C49" i="6"/>
  <c r="B49" i="6"/>
  <c r="H47" i="6"/>
  <c r="G47" i="6"/>
  <c r="E47" i="6"/>
  <c r="E46" i="6"/>
  <c r="E45" i="6"/>
  <c r="I44" i="6"/>
  <c r="H44" i="6"/>
  <c r="G44" i="6"/>
  <c r="F44" i="6"/>
  <c r="D42" i="6"/>
  <c r="C42" i="6"/>
  <c r="B42" i="6"/>
  <c r="H40" i="6"/>
  <c r="G40" i="6"/>
  <c r="E40" i="6"/>
  <c r="E39" i="6"/>
  <c r="E38" i="6"/>
  <c r="I37" i="6"/>
  <c r="H37" i="6"/>
  <c r="G37" i="6"/>
  <c r="F37" i="6"/>
  <c r="D35" i="6"/>
  <c r="C35" i="6"/>
  <c r="B35" i="6"/>
  <c r="A34" i="6"/>
  <c r="A32" i="6"/>
  <c r="A18" i="6"/>
  <c r="A15" i="6"/>
  <c r="A10" i="6"/>
  <c r="G6" i="6"/>
  <c r="B6" i="6"/>
  <c r="A1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K28" i="1"/>
  <c r="AC28" i="1"/>
  <c r="AE28" i="1"/>
  <c r="U35" i="6" s="1"/>
  <c r="AF28" i="1"/>
  <c r="AG28" i="1"/>
  <c r="CU28" i="1" s="1"/>
  <c r="T28" i="1" s="1"/>
  <c r="AH28" i="1"/>
  <c r="CV28" i="1" s="1"/>
  <c r="U28" i="1" s="1"/>
  <c r="K40" i="6" s="1"/>
  <c r="AI28" i="1"/>
  <c r="CW28" i="1" s="1"/>
  <c r="AJ28" i="1"/>
  <c r="CX28" i="1" s="1"/>
  <c r="FR28" i="1"/>
  <c r="GL28" i="1"/>
  <c r="GN28" i="1"/>
  <c r="GO28" i="1"/>
  <c r="GV28" i="1"/>
  <c r="HC28" i="1" s="1"/>
  <c r="GX28" i="1" s="1"/>
  <c r="D29" i="1"/>
  <c r="I29" i="1"/>
  <c r="K29" i="1"/>
  <c r="T29" i="1"/>
  <c r="AC29" i="1"/>
  <c r="AE29" i="1"/>
  <c r="AF29" i="1"/>
  <c r="AG29" i="1"/>
  <c r="CU29" i="1" s="1"/>
  <c r="AH29" i="1"/>
  <c r="CV29" i="1" s="1"/>
  <c r="AI29" i="1"/>
  <c r="CW29" i="1" s="1"/>
  <c r="AJ29" i="1"/>
  <c r="CX29" i="1" s="1"/>
  <c r="CQ29" i="1"/>
  <c r="CS29" i="1"/>
  <c r="CT29" i="1"/>
  <c r="S29" i="1" s="1"/>
  <c r="FR29" i="1"/>
  <c r="GL29" i="1"/>
  <c r="GN29" i="1"/>
  <c r="GO29" i="1"/>
  <c r="GV29" i="1"/>
  <c r="HC29" i="1"/>
  <c r="D30" i="1"/>
  <c r="I30" i="1"/>
  <c r="K30" i="1"/>
  <c r="AC30" i="1"/>
  <c r="AB30" i="1" s="1"/>
  <c r="AE30" i="1"/>
  <c r="AD30" i="1" s="1"/>
  <c r="AF30" i="1"/>
  <c r="CT30" i="1" s="1"/>
  <c r="S30" i="1" s="1"/>
  <c r="AG30" i="1"/>
  <c r="CU30" i="1" s="1"/>
  <c r="T30" i="1" s="1"/>
  <c r="AH30" i="1"/>
  <c r="CV30" i="1" s="1"/>
  <c r="AI30" i="1"/>
  <c r="CW30" i="1" s="1"/>
  <c r="AJ30" i="1"/>
  <c r="CX30" i="1" s="1"/>
  <c r="CQ30" i="1"/>
  <c r="CR30" i="1"/>
  <c r="CS30" i="1"/>
  <c r="FR30" i="1"/>
  <c r="GL30" i="1"/>
  <c r="GN30" i="1"/>
  <c r="GO30" i="1"/>
  <c r="GV30" i="1"/>
  <c r="HC30" i="1"/>
  <c r="D31" i="1"/>
  <c r="I31" i="1"/>
  <c r="K31" i="1"/>
  <c r="AC31" i="1"/>
  <c r="CQ31" i="1" s="1"/>
  <c r="AD31" i="1"/>
  <c r="AE31" i="1"/>
  <c r="AF31" i="1"/>
  <c r="CT31" i="1" s="1"/>
  <c r="AG31" i="1"/>
  <c r="CU31" i="1" s="1"/>
  <c r="AH31" i="1"/>
  <c r="AI31" i="1"/>
  <c r="AJ31" i="1"/>
  <c r="CV31" i="1"/>
  <c r="CW31" i="1"/>
  <c r="CX31" i="1"/>
  <c r="W31" i="1" s="1"/>
  <c r="FR31" i="1"/>
  <c r="GL31" i="1"/>
  <c r="GN31" i="1"/>
  <c r="GO31" i="1"/>
  <c r="GV31" i="1"/>
  <c r="HC31" i="1" s="1"/>
  <c r="D32" i="1"/>
  <c r="I32" i="1"/>
  <c r="K32" i="1"/>
  <c r="P32" i="1"/>
  <c r="Q32" i="1"/>
  <c r="J52" i="6" s="1"/>
  <c r="AC32" i="1"/>
  <c r="CQ32" i="1" s="1"/>
  <c r="AE32" i="1"/>
  <c r="AF32" i="1"/>
  <c r="AG32" i="1"/>
  <c r="AH32" i="1"/>
  <c r="AI32" i="1"/>
  <c r="AJ32" i="1"/>
  <c r="CR32" i="1"/>
  <c r="CU32" i="1"/>
  <c r="T32" i="1" s="1"/>
  <c r="CV32" i="1"/>
  <c r="U32" i="1" s="1"/>
  <c r="K58" i="6" s="1"/>
  <c r="CW32" i="1"/>
  <c r="V32" i="1" s="1"/>
  <c r="CX32" i="1"/>
  <c r="W32" i="1" s="1"/>
  <c r="FR32" i="1"/>
  <c r="GL32" i="1"/>
  <c r="GN32" i="1"/>
  <c r="GO32" i="1"/>
  <c r="GV32" i="1"/>
  <c r="HC32" i="1" s="1"/>
  <c r="D33" i="1"/>
  <c r="AC33" i="1"/>
  <c r="CQ33" i="1" s="1"/>
  <c r="P33" i="1" s="1"/>
  <c r="AD33" i="1"/>
  <c r="AE33" i="1"/>
  <c r="AF33" i="1"/>
  <c r="AG33" i="1"/>
  <c r="CU33" i="1" s="1"/>
  <c r="T33" i="1" s="1"/>
  <c r="AH33" i="1"/>
  <c r="CV33" i="1" s="1"/>
  <c r="U33" i="1" s="1"/>
  <c r="K65" i="6" s="1"/>
  <c r="AI33" i="1"/>
  <c r="CW33" i="1" s="1"/>
  <c r="V33" i="1" s="1"/>
  <c r="AJ33" i="1"/>
  <c r="CX33" i="1" s="1"/>
  <c r="W33" i="1" s="1"/>
  <c r="FR33" i="1"/>
  <c r="GL33" i="1"/>
  <c r="GN33" i="1"/>
  <c r="GO33" i="1"/>
  <c r="GV33" i="1"/>
  <c r="HC33" i="1" s="1"/>
  <c r="GX33" i="1" s="1"/>
  <c r="D34" i="1"/>
  <c r="I34" i="1"/>
  <c r="K34" i="1"/>
  <c r="AC34" i="1"/>
  <c r="CQ34" i="1" s="1"/>
  <c r="P34" i="1" s="1"/>
  <c r="AE34" i="1"/>
  <c r="AF34" i="1"/>
  <c r="AG34" i="1"/>
  <c r="CU34" i="1" s="1"/>
  <c r="T34" i="1" s="1"/>
  <c r="AH34" i="1"/>
  <c r="CV34" i="1" s="1"/>
  <c r="U34" i="1" s="1"/>
  <c r="K72" i="6" s="1"/>
  <c r="AI34" i="1"/>
  <c r="AJ34" i="1"/>
  <c r="CW34" i="1"/>
  <c r="V34" i="1" s="1"/>
  <c r="CX34" i="1"/>
  <c r="W34" i="1" s="1"/>
  <c r="FR34" i="1"/>
  <c r="GL34" i="1"/>
  <c r="GN34" i="1"/>
  <c r="GO34" i="1"/>
  <c r="GV34" i="1"/>
  <c r="HC34" i="1" s="1"/>
  <c r="GX34" i="1" s="1"/>
  <c r="D35" i="1"/>
  <c r="AC35" i="1"/>
  <c r="CQ35" i="1" s="1"/>
  <c r="P35" i="1" s="1"/>
  <c r="J77" i="6" s="1"/>
  <c r="AE35" i="1"/>
  <c r="AF35" i="1"/>
  <c r="AG35" i="1"/>
  <c r="AH35" i="1"/>
  <c r="AI35" i="1"/>
  <c r="AJ35" i="1"/>
  <c r="CU35" i="1"/>
  <c r="T35" i="1" s="1"/>
  <c r="CV35" i="1"/>
  <c r="U35" i="1" s="1"/>
  <c r="K80" i="6" s="1"/>
  <c r="CW35" i="1"/>
  <c r="V35" i="1" s="1"/>
  <c r="CX35" i="1"/>
  <c r="W35" i="1" s="1"/>
  <c r="FR35" i="1"/>
  <c r="GL35" i="1"/>
  <c r="GN35" i="1"/>
  <c r="GO35" i="1"/>
  <c r="GV35" i="1"/>
  <c r="HC35" i="1" s="1"/>
  <c r="GX35" i="1" s="1"/>
  <c r="D36" i="1"/>
  <c r="AC36" i="1"/>
  <c r="CQ36" i="1" s="1"/>
  <c r="P36" i="1" s="1"/>
  <c r="AD36" i="1"/>
  <c r="AE36" i="1"/>
  <c r="AF36" i="1"/>
  <c r="AG36" i="1"/>
  <c r="CU36" i="1" s="1"/>
  <c r="T36" i="1" s="1"/>
  <c r="AH36" i="1"/>
  <c r="CV36" i="1" s="1"/>
  <c r="U36" i="1" s="1"/>
  <c r="K89" i="6" s="1"/>
  <c r="AI36" i="1"/>
  <c r="CW36" i="1" s="1"/>
  <c r="V36" i="1" s="1"/>
  <c r="AJ36" i="1"/>
  <c r="CX36" i="1" s="1"/>
  <c r="W36" i="1" s="1"/>
  <c r="FR36" i="1"/>
  <c r="GL36" i="1"/>
  <c r="GN36" i="1"/>
  <c r="GO36" i="1"/>
  <c r="GV36" i="1"/>
  <c r="HC36" i="1" s="1"/>
  <c r="GX36" i="1" s="1"/>
  <c r="D37" i="1"/>
  <c r="I37" i="1"/>
  <c r="K37" i="1"/>
  <c r="AC37" i="1"/>
  <c r="AE37" i="1"/>
  <c r="U91" i="6" s="1"/>
  <c r="AF37" i="1"/>
  <c r="AG37" i="1"/>
  <c r="AH37" i="1"/>
  <c r="CV37" i="1" s="1"/>
  <c r="U37" i="1" s="1"/>
  <c r="K96" i="6" s="1"/>
  <c r="AI37" i="1"/>
  <c r="CW37" i="1" s="1"/>
  <c r="V37" i="1" s="1"/>
  <c r="AJ37" i="1"/>
  <c r="CX37" i="1" s="1"/>
  <c r="W37" i="1" s="1"/>
  <c r="CT37" i="1"/>
  <c r="S37" i="1" s="1"/>
  <c r="CU37" i="1"/>
  <c r="T37" i="1" s="1"/>
  <c r="FR37" i="1"/>
  <c r="GL37" i="1"/>
  <c r="GN37" i="1"/>
  <c r="GO37" i="1"/>
  <c r="GV37" i="1"/>
  <c r="HC37" i="1"/>
  <c r="GX37" i="1" s="1"/>
  <c r="D38" i="1"/>
  <c r="I38" i="1"/>
  <c r="K38" i="1"/>
  <c r="P38" i="1"/>
  <c r="J101" i="6" s="1"/>
  <c r="AC38" i="1"/>
  <c r="CQ38" i="1" s="1"/>
  <c r="AE38" i="1"/>
  <c r="U98" i="6" s="1"/>
  <c r="AF38" i="1"/>
  <c r="AG38" i="1"/>
  <c r="CU38" i="1" s="1"/>
  <c r="T38" i="1" s="1"/>
  <c r="AH38" i="1"/>
  <c r="CV38" i="1" s="1"/>
  <c r="U38" i="1" s="1"/>
  <c r="K105" i="6" s="1"/>
  <c r="AI38" i="1"/>
  <c r="CW38" i="1" s="1"/>
  <c r="V38" i="1" s="1"/>
  <c r="AJ38" i="1"/>
  <c r="CX38" i="1"/>
  <c r="W38" i="1" s="1"/>
  <c r="FR38" i="1"/>
  <c r="GL38" i="1"/>
  <c r="GN38" i="1"/>
  <c r="GO38" i="1"/>
  <c r="GV38" i="1"/>
  <c r="HC38" i="1"/>
  <c r="GX38" i="1" s="1"/>
  <c r="AC39" i="1"/>
  <c r="CQ39" i="1" s="1"/>
  <c r="AE39" i="1"/>
  <c r="AF39" i="1"/>
  <c r="AG39" i="1"/>
  <c r="CU39" i="1" s="1"/>
  <c r="AH39" i="1"/>
  <c r="CV39" i="1" s="1"/>
  <c r="AI39" i="1"/>
  <c r="CW39" i="1" s="1"/>
  <c r="AJ39" i="1"/>
  <c r="CX39" i="1" s="1"/>
  <c r="FR39" i="1"/>
  <c r="GL39" i="1"/>
  <c r="GN39" i="1"/>
  <c r="GO39" i="1"/>
  <c r="GV39" i="1"/>
  <c r="HC39" i="1" s="1"/>
  <c r="D40" i="1"/>
  <c r="I40" i="1"/>
  <c r="K40" i="1"/>
  <c r="AC40" i="1"/>
  <c r="AE40" i="1"/>
  <c r="AD40" i="1" s="1"/>
  <c r="AF40" i="1"/>
  <c r="CT40" i="1" s="1"/>
  <c r="S40" i="1" s="1"/>
  <c r="AG40" i="1"/>
  <c r="CU40" i="1" s="1"/>
  <c r="T40" i="1" s="1"/>
  <c r="AH40" i="1"/>
  <c r="CV40" i="1" s="1"/>
  <c r="U40" i="1" s="1"/>
  <c r="AI40" i="1"/>
  <c r="CW40" i="1" s="1"/>
  <c r="V40" i="1" s="1"/>
  <c r="AJ40" i="1"/>
  <c r="CX40" i="1" s="1"/>
  <c r="CQ40" i="1"/>
  <c r="CR40" i="1"/>
  <c r="FR40" i="1"/>
  <c r="GL40" i="1"/>
  <c r="GN40" i="1"/>
  <c r="GO40" i="1"/>
  <c r="GV40" i="1"/>
  <c r="HC40" i="1"/>
  <c r="GX40" i="1" s="1"/>
  <c r="D41" i="1"/>
  <c r="P41" i="1"/>
  <c r="AC41" i="1"/>
  <c r="CQ41" i="1" s="1"/>
  <c r="AE41" i="1"/>
  <c r="AF41" i="1"/>
  <c r="AG41" i="1"/>
  <c r="CU41" i="1" s="1"/>
  <c r="T41" i="1" s="1"/>
  <c r="AH41" i="1"/>
  <c r="CV41" i="1" s="1"/>
  <c r="U41" i="1" s="1"/>
  <c r="K114" i="6" s="1"/>
  <c r="AI41" i="1"/>
  <c r="CW41" i="1" s="1"/>
  <c r="V41" i="1" s="1"/>
  <c r="AJ41" i="1"/>
  <c r="CS41" i="1"/>
  <c r="CT41" i="1"/>
  <c r="S41" i="1" s="1"/>
  <c r="J108" i="6" s="1"/>
  <c r="CX41" i="1"/>
  <c r="W41" i="1" s="1"/>
  <c r="FR41" i="1"/>
  <c r="GL41" i="1"/>
  <c r="GN41" i="1"/>
  <c r="GO41" i="1"/>
  <c r="GV41" i="1"/>
  <c r="HC41" i="1"/>
  <c r="GX41" i="1" s="1"/>
  <c r="B43" i="1"/>
  <c r="B26" i="1" s="1"/>
  <c r="C43" i="1"/>
  <c r="C26" i="1" s="1"/>
  <c r="D43" i="1"/>
  <c r="D26" i="1" s="1"/>
  <c r="F43" i="1"/>
  <c r="F26" i="1" s="1"/>
  <c r="G43" i="1"/>
  <c r="BX43" i="1"/>
  <c r="BX26" i="1" s="1"/>
  <c r="CK43" i="1"/>
  <c r="CL43" i="1"/>
  <c r="CM43" i="1"/>
  <c r="BD43" i="1" s="1"/>
  <c r="F68" i="1" s="1"/>
  <c r="D73" i="1"/>
  <c r="E75" i="1"/>
  <c r="Z75" i="1"/>
  <c r="AA75" i="1"/>
  <c r="AM75" i="1"/>
  <c r="AN75" i="1"/>
  <c r="BB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D77" i="1"/>
  <c r="I77" i="1"/>
  <c r="K77" i="1"/>
  <c r="U77" i="1"/>
  <c r="K126" i="6" s="1"/>
  <c r="W77" i="1"/>
  <c r="AC77" i="1"/>
  <c r="AE77" i="1"/>
  <c r="AF77" i="1"/>
  <c r="AG77" i="1"/>
  <c r="AH77" i="1"/>
  <c r="CV77" i="1" s="1"/>
  <c r="AI77" i="1"/>
  <c r="CW77" i="1" s="1"/>
  <c r="V77" i="1" s="1"/>
  <c r="AJ77" i="1"/>
  <c r="CX77" i="1" s="1"/>
  <c r="CQ77" i="1"/>
  <c r="P77" i="1" s="1"/>
  <c r="CR77" i="1"/>
  <c r="Q77" i="1" s="1"/>
  <c r="CS77" i="1"/>
  <c r="CT77" i="1"/>
  <c r="S77" i="1" s="1"/>
  <c r="CU77" i="1"/>
  <c r="T77" i="1" s="1"/>
  <c r="FR77" i="1"/>
  <c r="GL77" i="1"/>
  <c r="GN77" i="1"/>
  <c r="GO77" i="1"/>
  <c r="GV77" i="1"/>
  <c r="HC77" i="1"/>
  <c r="GX77" i="1" s="1"/>
  <c r="D78" i="1"/>
  <c r="I78" i="1"/>
  <c r="K78" i="1"/>
  <c r="AC78" i="1"/>
  <c r="CQ78" i="1" s="1"/>
  <c r="AE78" i="1"/>
  <c r="AF78" i="1"/>
  <c r="AG78" i="1"/>
  <c r="CU78" i="1" s="1"/>
  <c r="T78" i="1" s="1"/>
  <c r="AH78" i="1"/>
  <c r="CV78" i="1" s="1"/>
  <c r="U78" i="1" s="1"/>
  <c r="K133" i="6" s="1"/>
  <c r="AI78" i="1"/>
  <c r="CW78" i="1" s="1"/>
  <c r="V78" i="1" s="1"/>
  <c r="AJ78" i="1"/>
  <c r="CX78" i="1" s="1"/>
  <c r="W78" i="1" s="1"/>
  <c r="FR78" i="1"/>
  <c r="GL78" i="1"/>
  <c r="GN78" i="1"/>
  <c r="CB87" i="1" s="1"/>
  <c r="GO78" i="1"/>
  <c r="GV78" i="1"/>
  <c r="HC78" i="1" s="1"/>
  <c r="D79" i="1"/>
  <c r="I79" i="1"/>
  <c r="K79" i="1"/>
  <c r="AC79" i="1"/>
  <c r="CQ79" i="1" s="1"/>
  <c r="P79" i="1" s="1"/>
  <c r="AE79" i="1"/>
  <c r="AF79" i="1"/>
  <c r="CT79" i="1" s="1"/>
  <c r="S79" i="1" s="1"/>
  <c r="CY79" i="1" s="1"/>
  <c r="X79" i="1" s="1"/>
  <c r="AG79" i="1"/>
  <c r="CU79" i="1" s="1"/>
  <c r="T79" i="1" s="1"/>
  <c r="AH79" i="1"/>
  <c r="CV79" i="1" s="1"/>
  <c r="U79" i="1" s="1"/>
  <c r="AI79" i="1"/>
  <c r="CW79" i="1" s="1"/>
  <c r="V79" i="1" s="1"/>
  <c r="AJ79" i="1"/>
  <c r="CX79" i="1"/>
  <c r="W79" i="1" s="1"/>
  <c r="FR79" i="1"/>
  <c r="GL79" i="1"/>
  <c r="GN79" i="1"/>
  <c r="GO79" i="1"/>
  <c r="GV79" i="1"/>
  <c r="HC79" i="1" s="1"/>
  <c r="GX79" i="1" s="1"/>
  <c r="D80" i="1"/>
  <c r="U80" i="1"/>
  <c r="K140" i="6" s="1"/>
  <c r="V80" i="1"/>
  <c r="AC80" i="1"/>
  <c r="CQ80" i="1" s="1"/>
  <c r="P80" i="1" s="1"/>
  <c r="AE80" i="1"/>
  <c r="AF80" i="1"/>
  <c r="AG80" i="1"/>
  <c r="AH80" i="1"/>
  <c r="CV80" i="1" s="1"/>
  <c r="AI80" i="1"/>
  <c r="CW80" i="1" s="1"/>
  <c r="AJ80" i="1"/>
  <c r="CR80" i="1"/>
  <c r="Q80" i="1" s="1"/>
  <c r="CS80" i="1"/>
  <c r="V135" i="6" s="1"/>
  <c r="CU80" i="1"/>
  <c r="T80" i="1" s="1"/>
  <c r="CX80" i="1"/>
  <c r="W80" i="1" s="1"/>
  <c r="FR80" i="1"/>
  <c r="GL80" i="1"/>
  <c r="GN80" i="1"/>
  <c r="GO80" i="1"/>
  <c r="GV80" i="1"/>
  <c r="HC80" i="1" s="1"/>
  <c r="GX80" i="1"/>
  <c r="D81" i="1"/>
  <c r="I81" i="1"/>
  <c r="K81" i="1"/>
  <c r="P81" i="1"/>
  <c r="J145" i="6" s="1"/>
  <c r="V81" i="1"/>
  <c r="AC81" i="1"/>
  <c r="AE81" i="1"/>
  <c r="AF81" i="1"/>
  <c r="AG81" i="1"/>
  <c r="CU81" i="1" s="1"/>
  <c r="AH81" i="1"/>
  <c r="CV81" i="1" s="1"/>
  <c r="AI81" i="1"/>
  <c r="CW81" i="1" s="1"/>
  <c r="AJ81" i="1"/>
  <c r="CX81" i="1" s="1"/>
  <c r="W81" i="1" s="1"/>
  <c r="CQ81" i="1"/>
  <c r="CR81" i="1"/>
  <c r="Q81" i="1" s="1"/>
  <c r="CS81" i="1"/>
  <c r="CT81" i="1"/>
  <c r="S81" i="1" s="1"/>
  <c r="J144" i="6" s="1"/>
  <c r="FR81" i="1"/>
  <c r="GL81" i="1"/>
  <c r="GN81" i="1"/>
  <c r="GO81" i="1"/>
  <c r="GV81" i="1"/>
  <c r="HC81" i="1" s="1"/>
  <c r="D82" i="1"/>
  <c r="AC82" i="1"/>
  <c r="CQ82" i="1" s="1"/>
  <c r="P82" i="1" s="1"/>
  <c r="AE82" i="1"/>
  <c r="AF82" i="1"/>
  <c r="CT82" i="1" s="1"/>
  <c r="S82" i="1" s="1"/>
  <c r="CZ82" i="1" s="1"/>
  <c r="Y82" i="1" s="1"/>
  <c r="AG82" i="1"/>
  <c r="CU82" i="1" s="1"/>
  <c r="T82" i="1" s="1"/>
  <c r="AH82" i="1"/>
  <c r="CV82" i="1" s="1"/>
  <c r="U82" i="1" s="1"/>
  <c r="AI82" i="1"/>
  <c r="AJ82" i="1"/>
  <c r="CX82" i="1" s="1"/>
  <c r="W82" i="1" s="1"/>
  <c r="CW82" i="1"/>
  <c r="V82" i="1" s="1"/>
  <c r="CY82" i="1"/>
  <c r="X82" i="1" s="1"/>
  <c r="FR82" i="1"/>
  <c r="GL82" i="1"/>
  <c r="GN82" i="1"/>
  <c r="GO82" i="1"/>
  <c r="GV82" i="1"/>
  <c r="HC82" i="1" s="1"/>
  <c r="GX82" i="1" s="1"/>
  <c r="D83" i="1"/>
  <c r="AC83" i="1"/>
  <c r="AD83" i="1"/>
  <c r="AE83" i="1"/>
  <c r="AF83" i="1"/>
  <c r="CT83" i="1" s="1"/>
  <c r="S83" i="1" s="1"/>
  <c r="AG83" i="1"/>
  <c r="CU83" i="1" s="1"/>
  <c r="T83" i="1" s="1"/>
  <c r="AH83" i="1"/>
  <c r="CV83" i="1" s="1"/>
  <c r="U83" i="1" s="1"/>
  <c r="AI83" i="1"/>
  <c r="CW83" i="1" s="1"/>
  <c r="V83" i="1" s="1"/>
  <c r="AJ83" i="1"/>
  <c r="CX83" i="1" s="1"/>
  <c r="W83" i="1" s="1"/>
  <c r="FR83" i="1"/>
  <c r="GL83" i="1"/>
  <c r="GN83" i="1"/>
  <c r="GO83" i="1"/>
  <c r="GV83" i="1"/>
  <c r="HC83" i="1" s="1"/>
  <c r="GX83" i="1" s="1"/>
  <c r="D84" i="1"/>
  <c r="I84" i="1"/>
  <c r="K84" i="1"/>
  <c r="W84" i="1"/>
  <c r="AC84" i="1"/>
  <c r="CQ84" i="1" s="1"/>
  <c r="P84" i="1" s="1"/>
  <c r="AE84" i="1"/>
  <c r="AF84" i="1"/>
  <c r="AG84" i="1"/>
  <c r="AH84" i="1"/>
  <c r="AI84" i="1"/>
  <c r="AJ84" i="1"/>
  <c r="CX84" i="1" s="1"/>
  <c r="CT84" i="1"/>
  <c r="S84" i="1" s="1"/>
  <c r="CU84" i="1"/>
  <c r="T84" i="1" s="1"/>
  <c r="CV84" i="1"/>
  <c r="U84" i="1" s="1"/>
  <c r="K155" i="6" s="1"/>
  <c r="CW84" i="1"/>
  <c r="V84" i="1" s="1"/>
  <c r="FR84" i="1"/>
  <c r="GL84" i="1"/>
  <c r="GN84" i="1"/>
  <c r="GO84" i="1"/>
  <c r="GV84" i="1"/>
  <c r="HC84" i="1"/>
  <c r="GX84" i="1" s="1"/>
  <c r="D85" i="1"/>
  <c r="I85" i="1"/>
  <c r="P85" i="1" s="1"/>
  <c r="J160" i="6" s="1"/>
  <c r="K85" i="1"/>
  <c r="R85" i="1"/>
  <c r="GK85" i="1" s="1"/>
  <c r="AC85" i="1"/>
  <c r="AE85" i="1"/>
  <c r="AF85" i="1"/>
  <c r="AG85" i="1"/>
  <c r="CU85" i="1" s="1"/>
  <c r="T85" i="1" s="1"/>
  <c r="AH85" i="1"/>
  <c r="CV85" i="1" s="1"/>
  <c r="U85" i="1" s="1"/>
  <c r="K163" i="6" s="1"/>
  <c r="AI85" i="1"/>
  <c r="CW85" i="1" s="1"/>
  <c r="AJ85" i="1"/>
  <c r="CX85" i="1" s="1"/>
  <c r="W85" i="1" s="1"/>
  <c r="CQ85" i="1"/>
  <c r="CS85" i="1"/>
  <c r="V157" i="6" s="1"/>
  <c r="FR85" i="1"/>
  <c r="GL85" i="1"/>
  <c r="GN85" i="1"/>
  <c r="GO85" i="1"/>
  <c r="GV85" i="1"/>
  <c r="HC85" i="1" s="1"/>
  <c r="GX85" i="1"/>
  <c r="B87" i="1"/>
  <c r="B75" i="1" s="1"/>
  <c r="C87" i="1"/>
  <c r="C75" i="1" s="1"/>
  <c r="D87" i="1"/>
  <c r="D75" i="1" s="1"/>
  <c r="F87" i="1"/>
  <c r="F75" i="1" s="1"/>
  <c r="G87" i="1"/>
  <c r="BX87" i="1"/>
  <c r="AO87" i="1" s="1"/>
  <c r="AO75" i="1" s="1"/>
  <c r="CK87" i="1"/>
  <c r="BB87" i="1" s="1"/>
  <c r="F100" i="1" s="1"/>
  <c r="CL87" i="1"/>
  <c r="BC87" i="1" s="1"/>
  <c r="CM87" i="1"/>
  <c r="F91" i="1"/>
  <c r="D117" i="1"/>
  <c r="E119" i="1"/>
  <c r="Z119" i="1"/>
  <c r="AA119" i="1"/>
  <c r="AM119" i="1"/>
  <c r="AN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EG119" i="1"/>
  <c r="EH119" i="1"/>
  <c r="EI119" i="1"/>
  <c r="EJ119" i="1"/>
  <c r="EK119" i="1"/>
  <c r="EL119" i="1"/>
  <c r="EM119" i="1"/>
  <c r="EN119" i="1"/>
  <c r="EO119" i="1"/>
  <c r="EP119" i="1"/>
  <c r="EQ119" i="1"/>
  <c r="ER119" i="1"/>
  <c r="ES119" i="1"/>
  <c r="ET119" i="1"/>
  <c r="EU119" i="1"/>
  <c r="EV119" i="1"/>
  <c r="EW119" i="1"/>
  <c r="EX119" i="1"/>
  <c r="EY119" i="1"/>
  <c r="EZ119" i="1"/>
  <c r="FA119" i="1"/>
  <c r="FB119" i="1"/>
  <c r="FC119" i="1"/>
  <c r="FD119" i="1"/>
  <c r="FE119" i="1"/>
  <c r="FF119" i="1"/>
  <c r="FG119" i="1"/>
  <c r="FH119" i="1"/>
  <c r="FI119" i="1"/>
  <c r="FJ119" i="1"/>
  <c r="FK119" i="1"/>
  <c r="FL119" i="1"/>
  <c r="FM119" i="1"/>
  <c r="FN119" i="1"/>
  <c r="FO119" i="1"/>
  <c r="FP119" i="1"/>
  <c r="FQ119" i="1"/>
  <c r="FR119" i="1"/>
  <c r="FS119" i="1"/>
  <c r="FT119" i="1"/>
  <c r="FU119" i="1"/>
  <c r="FV119" i="1"/>
  <c r="FW119" i="1"/>
  <c r="FX119" i="1"/>
  <c r="FY119" i="1"/>
  <c r="FZ119" i="1"/>
  <c r="GA119" i="1"/>
  <c r="GB119" i="1"/>
  <c r="GC119" i="1"/>
  <c r="GD119" i="1"/>
  <c r="GE119" i="1"/>
  <c r="GF119" i="1"/>
  <c r="GG119" i="1"/>
  <c r="GH119" i="1"/>
  <c r="GI119" i="1"/>
  <c r="GJ119" i="1"/>
  <c r="GK119" i="1"/>
  <c r="GL119" i="1"/>
  <c r="GM119" i="1"/>
  <c r="GN119" i="1"/>
  <c r="GO119" i="1"/>
  <c r="GP119" i="1"/>
  <c r="GQ119" i="1"/>
  <c r="GR119" i="1"/>
  <c r="GS119" i="1"/>
  <c r="GT119" i="1"/>
  <c r="GU119" i="1"/>
  <c r="GV119" i="1"/>
  <c r="GW119" i="1"/>
  <c r="GX119" i="1"/>
  <c r="D121" i="1"/>
  <c r="I121" i="1"/>
  <c r="K121" i="1"/>
  <c r="AC121" i="1"/>
  <c r="AE121" i="1"/>
  <c r="AF121" i="1"/>
  <c r="AG121" i="1"/>
  <c r="CU121" i="1" s="1"/>
  <c r="AH121" i="1"/>
  <c r="AI121" i="1"/>
  <c r="AJ121" i="1"/>
  <c r="CV121" i="1"/>
  <c r="CW121" i="1"/>
  <c r="V121" i="1" s="1"/>
  <c r="CX121" i="1"/>
  <c r="W121" i="1" s="1"/>
  <c r="FR121" i="1"/>
  <c r="GL121" i="1"/>
  <c r="GN121" i="1"/>
  <c r="GO121" i="1"/>
  <c r="GV121" i="1"/>
  <c r="HC121" i="1"/>
  <c r="D122" i="1"/>
  <c r="I122" i="1"/>
  <c r="K122" i="1"/>
  <c r="T122" i="1"/>
  <c r="V122" i="1"/>
  <c r="AC122" i="1"/>
  <c r="CQ122" i="1" s="1"/>
  <c r="P122" i="1" s="1"/>
  <c r="AE122" i="1"/>
  <c r="AF122" i="1"/>
  <c r="AG122" i="1"/>
  <c r="CU122" i="1" s="1"/>
  <c r="AH122" i="1"/>
  <c r="AI122" i="1"/>
  <c r="CW122" i="1" s="1"/>
  <c r="AJ122" i="1"/>
  <c r="CR122" i="1"/>
  <c r="Q122" i="1" s="1"/>
  <c r="CS122" i="1"/>
  <c r="CT122" i="1"/>
  <c r="S122" i="1" s="1"/>
  <c r="CV122" i="1"/>
  <c r="U122" i="1" s="1"/>
  <c r="K182" i="6" s="1"/>
  <c r="CX122" i="1"/>
  <c r="W122" i="1" s="1"/>
  <c r="FR122" i="1"/>
  <c r="GL122" i="1"/>
  <c r="GN122" i="1"/>
  <c r="GO122" i="1"/>
  <c r="GV122" i="1"/>
  <c r="HC122" i="1"/>
  <c r="D123" i="1"/>
  <c r="I123" i="1"/>
  <c r="K123" i="1"/>
  <c r="AC123" i="1"/>
  <c r="AD123" i="1"/>
  <c r="AE123" i="1"/>
  <c r="AF123" i="1"/>
  <c r="AG123" i="1"/>
  <c r="AH123" i="1"/>
  <c r="AI123" i="1"/>
  <c r="AJ123" i="1"/>
  <c r="CR123" i="1"/>
  <c r="CS123" i="1"/>
  <c r="CT123" i="1"/>
  <c r="S123" i="1" s="1"/>
  <c r="CU123" i="1"/>
  <c r="CV123" i="1"/>
  <c r="U123" i="1" s="1"/>
  <c r="K189" i="6" s="1"/>
  <c r="CW123" i="1"/>
  <c r="V123" i="1" s="1"/>
  <c r="CX123" i="1"/>
  <c r="FR123" i="1"/>
  <c r="GL123" i="1"/>
  <c r="GN123" i="1"/>
  <c r="GO123" i="1"/>
  <c r="GV123" i="1"/>
  <c r="HC123" i="1"/>
  <c r="GX123" i="1" s="1"/>
  <c r="D124" i="1"/>
  <c r="I124" i="1"/>
  <c r="K124" i="1"/>
  <c r="AC124" i="1"/>
  <c r="AE124" i="1"/>
  <c r="AF124" i="1"/>
  <c r="AG124" i="1"/>
  <c r="CU124" i="1" s="1"/>
  <c r="T124" i="1" s="1"/>
  <c r="AH124" i="1"/>
  <c r="CV124" i="1" s="1"/>
  <c r="U124" i="1" s="1"/>
  <c r="K200" i="6" s="1"/>
  <c r="AI124" i="1"/>
  <c r="CW124" i="1" s="1"/>
  <c r="V124" i="1" s="1"/>
  <c r="AJ124" i="1"/>
  <c r="CX124" i="1" s="1"/>
  <c r="W124" i="1" s="1"/>
  <c r="CQ124" i="1"/>
  <c r="P124" i="1" s="1"/>
  <c r="FR124" i="1"/>
  <c r="GL124" i="1"/>
  <c r="GN124" i="1"/>
  <c r="GO124" i="1"/>
  <c r="GV124" i="1"/>
  <c r="HC124" i="1"/>
  <c r="D125" i="1"/>
  <c r="I125" i="1"/>
  <c r="K125" i="1"/>
  <c r="AC125" i="1"/>
  <c r="CQ125" i="1" s="1"/>
  <c r="P125" i="1" s="1"/>
  <c r="J207" i="6" s="1"/>
  <c r="AE125" i="1"/>
  <c r="AD125" i="1" s="1"/>
  <c r="AF125" i="1"/>
  <c r="AG125" i="1"/>
  <c r="CU125" i="1" s="1"/>
  <c r="T125" i="1" s="1"/>
  <c r="AH125" i="1"/>
  <c r="CV125" i="1" s="1"/>
  <c r="U125" i="1" s="1"/>
  <c r="K211" i="6" s="1"/>
  <c r="AI125" i="1"/>
  <c r="AJ125" i="1"/>
  <c r="CW125" i="1"/>
  <c r="V125" i="1" s="1"/>
  <c r="CX125" i="1"/>
  <c r="W125" i="1" s="1"/>
  <c r="FR125" i="1"/>
  <c r="BY136" i="1" s="1"/>
  <c r="BY119" i="1" s="1"/>
  <c r="GL125" i="1"/>
  <c r="GN125" i="1"/>
  <c r="GO125" i="1"/>
  <c r="GV125" i="1"/>
  <c r="HC125" i="1"/>
  <c r="GX125" i="1" s="1"/>
  <c r="D126" i="1"/>
  <c r="I126" i="1"/>
  <c r="K126" i="1"/>
  <c r="T126" i="1"/>
  <c r="AC126" i="1"/>
  <c r="AE126" i="1"/>
  <c r="AF126" i="1"/>
  <c r="AG126" i="1"/>
  <c r="CU126" i="1" s="1"/>
  <c r="AH126" i="1"/>
  <c r="CV126" i="1" s="1"/>
  <c r="U126" i="1" s="1"/>
  <c r="K219" i="6" s="1"/>
  <c r="AI126" i="1"/>
  <c r="CW126" i="1" s="1"/>
  <c r="V126" i="1" s="1"/>
  <c r="AJ126" i="1"/>
  <c r="CX126" i="1" s="1"/>
  <c r="W126" i="1" s="1"/>
  <c r="CQ126" i="1"/>
  <c r="P126" i="1" s="1"/>
  <c r="CR126" i="1"/>
  <c r="Q126" i="1" s="1"/>
  <c r="CT126" i="1"/>
  <c r="S126" i="1" s="1"/>
  <c r="FR126" i="1"/>
  <c r="GL126" i="1"/>
  <c r="GN126" i="1"/>
  <c r="GO126" i="1"/>
  <c r="GV126" i="1"/>
  <c r="HC126" i="1"/>
  <c r="GX126" i="1" s="1"/>
  <c r="D127" i="1"/>
  <c r="I127" i="1"/>
  <c r="U127" i="1" s="1"/>
  <c r="K226" i="6" s="1"/>
  <c r="K127" i="1"/>
  <c r="V127" i="1"/>
  <c r="AC127" i="1"/>
  <c r="AE127" i="1"/>
  <c r="AF127" i="1"/>
  <c r="AG127" i="1"/>
  <c r="CU127" i="1" s="1"/>
  <c r="T127" i="1" s="1"/>
  <c r="AH127" i="1"/>
  <c r="CV127" i="1" s="1"/>
  <c r="AI127" i="1"/>
  <c r="CW127" i="1" s="1"/>
  <c r="AJ127" i="1"/>
  <c r="CX127" i="1" s="1"/>
  <c r="CQ127" i="1"/>
  <c r="CR127" i="1"/>
  <c r="Q127" i="1" s="1"/>
  <c r="CS127" i="1"/>
  <c r="CT127" i="1"/>
  <c r="FR127" i="1"/>
  <c r="GL127" i="1"/>
  <c r="GN127" i="1"/>
  <c r="GO127" i="1"/>
  <c r="GV127" i="1"/>
  <c r="HC127" i="1" s="1"/>
  <c r="GX127" i="1" s="1"/>
  <c r="D128" i="1"/>
  <c r="I128" i="1"/>
  <c r="K128" i="1"/>
  <c r="AC128" i="1"/>
  <c r="CQ128" i="1" s="1"/>
  <c r="AD128" i="1"/>
  <c r="AE128" i="1"/>
  <c r="AF128" i="1"/>
  <c r="AG128" i="1"/>
  <c r="CU128" i="1" s="1"/>
  <c r="AH128" i="1"/>
  <c r="CV128" i="1" s="1"/>
  <c r="AI128" i="1"/>
  <c r="AJ128" i="1"/>
  <c r="CX128" i="1" s="1"/>
  <c r="CW128" i="1"/>
  <c r="FR128" i="1"/>
  <c r="GL128" i="1"/>
  <c r="GN128" i="1"/>
  <c r="GO128" i="1"/>
  <c r="GV128" i="1"/>
  <c r="HC128" i="1" s="1"/>
  <c r="D129" i="1"/>
  <c r="I129" i="1"/>
  <c r="K129" i="1"/>
  <c r="P129" i="1"/>
  <c r="CP129" i="1" s="1"/>
  <c r="O129" i="1" s="1"/>
  <c r="Q129" i="1"/>
  <c r="R129" i="1"/>
  <c r="GK129" i="1" s="1"/>
  <c r="AC129" i="1"/>
  <c r="AE129" i="1"/>
  <c r="CS129" i="1" s="1"/>
  <c r="AF129" i="1"/>
  <c r="AG129" i="1"/>
  <c r="CU129" i="1" s="1"/>
  <c r="AH129" i="1"/>
  <c r="CV129" i="1" s="1"/>
  <c r="AI129" i="1"/>
  <c r="CW129" i="1" s="1"/>
  <c r="AJ129" i="1"/>
  <c r="CX129" i="1" s="1"/>
  <c r="CQ129" i="1"/>
  <c r="CR129" i="1"/>
  <c r="CT129" i="1"/>
  <c r="S129" i="1" s="1"/>
  <c r="FR129" i="1"/>
  <c r="GL129" i="1"/>
  <c r="GN129" i="1"/>
  <c r="GO129" i="1"/>
  <c r="GV129" i="1"/>
  <c r="HC129" i="1" s="1"/>
  <c r="D130" i="1"/>
  <c r="I130" i="1"/>
  <c r="K130" i="1"/>
  <c r="AC130" i="1"/>
  <c r="AE130" i="1"/>
  <c r="U235" i="6" s="1"/>
  <c r="AF130" i="1"/>
  <c r="AG130" i="1"/>
  <c r="CU130" i="1" s="1"/>
  <c r="AH130" i="1"/>
  <c r="AI130" i="1"/>
  <c r="CW130" i="1" s="1"/>
  <c r="AJ130" i="1"/>
  <c r="CX130" i="1" s="1"/>
  <c r="CV130" i="1"/>
  <c r="FR130" i="1"/>
  <c r="GL130" i="1"/>
  <c r="GN130" i="1"/>
  <c r="GO130" i="1"/>
  <c r="GV130" i="1"/>
  <c r="HC130" i="1"/>
  <c r="GX130" i="1" s="1"/>
  <c r="D131" i="1"/>
  <c r="AC131" i="1"/>
  <c r="AB131" i="1" s="1"/>
  <c r="AE131" i="1"/>
  <c r="AD131" i="1" s="1"/>
  <c r="AF131" i="1"/>
  <c r="CT131" i="1" s="1"/>
  <c r="S131" i="1" s="1"/>
  <c r="AG131" i="1"/>
  <c r="CU131" i="1" s="1"/>
  <c r="T131" i="1" s="1"/>
  <c r="AH131" i="1"/>
  <c r="CV131" i="1" s="1"/>
  <c r="U131" i="1" s="1"/>
  <c r="AI131" i="1"/>
  <c r="CW131" i="1" s="1"/>
  <c r="V131" i="1" s="1"/>
  <c r="AJ131" i="1"/>
  <c r="CX131" i="1" s="1"/>
  <c r="W131" i="1" s="1"/>
  <c r="CQ131" i="1"/>
  <c r="P131" i="1" s="1"/>
  <c r="FR131" i="1"/>
  <c r="GL131" i="1"/>
  <c r="GN131" i="1"/>
  <c r="GO131" i="1"/>
  <c r="GV131" i="1"/>
  <c r="HC131" i="1"/>
  <c r="GX131" i="1" s="1"/>
  <c r="D132" i="1"/>
  <c r="AC132" i="1"/>
  <c r="AE132" i="1"/>
  <c r="CS132" i="1" s="1"/>
  <c r="R132" i="1" s="1"/>
  <c r="GK132" i="1" s="1"/>
  <c r="AF132" i="1"/>
  <c r="CT132" i="1" s="1"/>
  <c r="S132" i="1" s="1"/>
  <c r="AG132" i="1"/>
  <c r="CU132" i="1" s="1"/>
  <c r="T132" i="1" s="1"/>
  <c r="AH132" i="1"/>
  <c r="CV132" i="1" s="1"/>
  <c r="U132" i="1" s="1"/>
  <c r="AI132" i="1"/>
  <c r="CW132" i="1" s="1"/>
  <c r="V132" i="1" s="1"/>
  <c r="AJ132" i="1"/>
  <c r="CQ132" i="1"/>
  <c r="P132" i="1" s="1"/>
  <c r="CR132" i="1"/>
  <c r="Q132" i="1" s="1"/>
  <c r="CX132" i="1"/>
  <c r="W132" i="1" s="1"/>
  <c r="FR132" i="1"/>
  <c r="GL132" i="1"/>
  <c r="GN132" i="1"/>
  <c r="GO132" i="1"/>
  <c r="GV132" i="1"/>
  <c r="HC132" i="1" s="1"/>
  <c r="GX132" i="1" s="1"/>
  <c r="D133" i="1"/>
  <c r="W133" i="1"/>
  <c r="AC133" i="1"/>
  <c r="CQ133" i="1" s="1"/>
  <c r="P133" i="1" s="1"/>
  <c r="AE133" i="1"/>
  <c r="AF133" i="1"/>
  <c r="AG133" i="1"/>
  <c r="AH133" i="1"/>
  <c r="AI133" i="1"/>
  <c r="AJ133" i="1"/>
  <c r="CX133" i="1" s="1"/>
  <c r="CT133" i="1"/>
  <c r="S133" i="1" s="1"/>
  <c r="J244" i="6" s="1"/>
  <c r="CU133" i="1"/>
  <c r="T133" i="1" s="1"/>
  <c r="CV133" i="1"/>
  <c r="U133" i="1" s="1"/>
  <c r="K247" i="6" s="1"/>
  <c r="CW133" i="1"/>
  <c r="V133" i="1" s="1"/>
  <c r="FR133" i="1"/>
  <c r="GL133" i="1"/>
  <c r="GN133" i="1"/>
  <c r="GO133" i="1"/>
  <c r="GV133" i="1"/>
  <c r="HC133" i="1" s="1"/>
  <c r="GX133" i="1" s="1"/>
  <c r="D134" i="1"/>
  <c r="V134" i="1"/>
  <c r="AC134" i="1"/>
  <c r="CQ134" i="1" s="1"/>
  <c r="P134" i="1" s="1"/>
  <c r="AE134" i="1"/>
  <c r="AF134" i="1"/>
  <c r="AG134" i="1"/>
  <c r="CU134" i="1" s="1"/>
  <c r="T134" i="1" s="1"/>
  <c r="AH134" i="1"/>
  <c r="CV134" i="1" s="1"/>
  <c r="U134" i="1" s="1"/>
  <c r="K254" i="6" s="1"/>
  <c r="AI134" i="1"/>
  <c r="AJ134" i="1"/>
  <c r="CX134" i="1" s="1"/>
  <c r="W134" i="1" s="1"/>
  <c r="CW134" i="1"/>
  <c r="FR134" i="1"/>
  <c r="GL134" i="1"/>
  <c r="GN134" i="1"/>
  <c r="GO134" i="1"/>
  <c r="GV134" i="1"/>
  <c r="HC134" i="1" s="1"/>
  <c r="GX134" i="1" s="1"/>
  <c r="B136" i="1"/>
  <c r="B119" i="1" s="1"/>
  <c r="C136" i="1"/>
  <c r="C119" i="1" s="1"/>
  <c r="D136" i="1"/>
  <c r="D119" i="1" s="1"/>
  <c r="F136" i="1"/>
  <c r="F119" i="1" s="1"/>
  <c r="G136" i="1"/>
  <c r="BD136" i="1"/>
  <c r="BD119" i="1" s="1"/>
  <c r="BX136" i="1"/>
  <c r="CK136" i="1"/>
  <c r="CL136" i="1"/>
  <c r="CM136" i="1"/>
  <c r="CM119" i="1" s="1"/>
  <c r="D166" i="1"/>
  <c r="E168" i="1"/>
  <c r="Z168" i="1"/>
  <c r="AA168" i="1"/>
  <c r="AM168" i="1"/>
  <c r="AN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W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EG168" i="1"/>
  <c r="EH168" i="1"/>
  <c r="EI168" i="1"/>
  <c r="EJ168" i="1"/>
  <c r="EK168" i="1"/>
  <c r="EL168" i="1"/>
  <c r="EM168" i="1"/>
  <c r="EN168" i="1"/>
  <c r="EO168" i="1"/>
  <c r="EP168" i="1"/>
  <c r="EQ168" i="1"/>
  <c r="ER168" i="1"/>
  <c r="ES168" i="1"/>
  <c r="ET168" i="1"/>
  <c r="EU168" i="1"/>
  <c r="EV168" i="1"/>
  <c r="EW168" i="1"/>
  <c r="EX168" i="1"/>
  <c r="EY168" i="1"/>
  <c r="EZ168" i="1"/>
  <c r="FA168" i="1"/>
  <c r="FB168" i="1"/>
  <c r="FC168" i="1"/>
  <c r="FD168" i="1"/>
  <c r="FE168" i="1"/>
  <c r="FF168" i="1"/>
  <c r="FG168" i="1"/>
  <c r="FH168" i="1"/>
  <c r="FI168" i="1"/>
  <c r="FJ168" i="1"/>
  <c r="FK168" i="1"/>
  <c r="FL168" i="1"/>
  <c r="FM168" i="1"/>
  <c r="FN168" i="1"/>
  <c r="FO168" i="1"/>
  <c r="FP168" i="1"/>
  <c r="FQ168" i="1"/>
  <c r="FR168" i="1"/>
  <c r="FS168" i="1"/>
  <c r="FT168" i="1"/>
  <c r="FU168" i="1"/>
  <c r="FV168" i="1"/>
  <c r="FW168" i="1"/>
  <c r="FX168" i="1"/>
  <c r="FY168" i="1"/>
  <c r="FZ168" i="1"/>
  <c r="GA168" i="1"/>
  <c r="GB168" i="1"/>
  <c r="GC168" i="1"/>
  <c r="GD168" i="1"/>
  <c r="GE168" i="1"/>
  <c r="GF168" i="1"/>
  <c r="GG168" i="1"/>
  <c r="GH168" i="1"/>
  <c r="GI168" i="1"/>
  <c r="GJ168" i="1"/>
  <c r="GK168" i="1"/>
  <c r="GL168" i="1"/>
  <c r="GM168" i="1"/>
  <c r="GN168" i="1"/>
  <c r="GO168" i="1"/>
  <c r="GP168" i="1"/>
  <c r="GQ168" i="1"/>
  <c r="GR168" i="1"/>
  <c r="GS168" i="1"/>
  <c r="GT168" i="1"/>
  <c r="GU168" i="1"/>
  <c r="GV168" i="1"/>
  <c r="GW168" i="1"/>
  <c r="GX168" i="1"/>
  <c r="D170" i="1"/>
  <c r="AC170" i="1"/>
  <c r="AE170" i="1"/>
  <c r="U261" i="6" s="1"/>
  <c r="AF170" i="1"/>
  <c r="AG170" i="1"/>
  <c r="CU170" i="1" s="1"/>
  <c r="T170" i="1" s="1"/>
  <c r="AH170" i="1"/>
  <c r="CV170" i="1" s="1"/>
  <c r="U170" i="1" s="1"/>
  <c r="K265" i="6" s="1"/>
  <c r="AI170" i="1"/>
  <c r="CW170" i="1" s="1"/>
  <c r="V170" i="1" s="1"/>
  <c r="AJ170" i="1"/>
  <c r="CX170" i="1" s="1"/>
  <c r="W170" i="1" s="1"/>
  <c r="CQ170" i="1"/>
  <c r="P170" i="1" s="1"/>
  <c r="FR170" i="1"/>
  <c r="GL170" i="1"/>
  <c r="GN170" i="1"/>
  <c r="GO170" i="1"/>
  <c r="GV170" i="1"/>
  <c r="HC170" i="1"/>
  <c r="GX170" i="1" s="1"/>
  <c r="CJ177" i="1" s="1"/>
  <c r="D171" i="1"/>
  <c r="U171" i="1"/>
  <c r="K271" i="6" s="1"/>
  <c r="AC171" i="1"/>
  <c r="AE171" i="1"/>
  <c r="AF171" i="1"/>
  <c r="AG171" i="1"/>
  <c r="CU171" i="1" s="1"/>
  <c r="T171" i="1" s="1"/>
  <c r="AH171" i="1"/>
  <c r="AI171" i="1"/>
  <c r="AJ171" i="1"/>
  <c r="CX171" i="1" s="1"/>
  <c r="W171" i="1" s="1"/>
  <c r="CQ171" i="1"/>
  <c r="P171" i="1" s="1"/>
  <c r="CR171" i="1"/>
  <c r="Q171" i="1" s="1"/>
  <c r="CS171" i="1"/>
  <c r="CV171" i="1"/>
  <c r="CW171" i="1"/>
  <c r="V171" i="1" s="1"/>
  <c r="FR171" i="1"/>
  <c r="GL171" i="1"/>
  <c r="GN171" i="1"/>
  <c r="GO171" i="1"/>
  <c r="GV171" i="1"/>
  <c r="HC171" i="1" s="1"/>
  <c r="GX171" i="1" s="1"/>
  <c r="D172" i="1"/>
  <c r="W172" i="1"/>
  <c r="AC172" i="1"/>
  <c r="AE172" i="1"/>
  <c r="U273" i="6" s="1"/>
  <c r="AF172" i="1"/>
  <c r="AG172" i="1"/>
  <c r="CU172" i="1" s="1"/>
  <c r="T172" i="1" s="1"/>
  <c r="AH172" i="1"/>
  <c r="CV172" i="1" s="1"/>
  <c r="U172" i="1" s="1"/>
  <c r="K278" i="6" s="1"/>
  <c r="AI172" i="1"/>
  <c r="CW172" i="1" s="1"/>
  <c r="V172" i="1" s="1"/>
  <c r="AJ172" i="1"/>
  <c r="CX172" i="1" s="1"/>
  <c r="FR172" i="1"/>
  <c r="GL172" i="1"/>
  <c r="GN172" i="1"/>
  <c r="GO172" i="1"/>
  <c r="GV172" i="1"/>
  <c r="HC172" i="1" s="1"/>
  <c r="GX172" i="1" s="1"/>
  <c r="D173" i="1"/>
  <c r="I173" i="1"/>
  <c r="K173" i="1"/>
  <c r="AC173" i="1"/>
  <c r="AD173" i="1"/>
  <c r="AB173" i="1" s="1"/>
  <c r="AE173" i="1"/>
  <c r="AF173" i="1"/>
  <c r="AG173" i="1"/>
  <c r="CU173" i="1" s="1"/>
  <c r="T173" i="1" s="1"/>
  <c r="AH173" i="1"/>
  <c r="CV173" i="1" s="1"/>
  <c r="U173" i="1" s="1"/>
  <c r="K289" i="6" s="1"/>
  <c r="AI173" i="1"/>
  <c r="CW173" i="1" s="1"/>
  <c r="V173" i="1" s="1"/>
  <c r="AJ173" i="1"/>
  <c r="CX173" i="1" s="1"/>
  <c r="W173" i="1" s="1"/>
  <c r="CQ173" i="1"/>
  <c r="P173" i="1" s="1"/>
  <c r="J285" i="6" s="1"/>
  <c r="CR173" i="1"/>
  <c r="FR173" i="1"/>
  <c r="GL173" i="1"/>
  <c r="GN173" i="1"/>
  <c r="GO173" i="1"/>
  <c r="GV173" i="1"/>
  <c r="HC173" i="1"/>
  <c r="GX173" i="1" s="1"/>
  <c r="D174" i="1"/>
  <c r="I174" i="1"/>
  <c r="K174" i="1"/>
  <c r="AC174" i="1"/>
  <c r="AE174" i="1"/>
  <c r="U291" i="6" s="1"/>
  <c r="AF174" i="1"/>
  <c r="AG174" i="1"/>
  <c r="CU174" i="1" s="1"/>
  <c r="T174" i="1" s="1"/>
  <c r="AH174" i="1"/>
  <c r="CV174" i="1" s="1"/>
  <c r="U174" i="1" s="1"/>
  <c r="K297" i="6" s="1"/>
  <c r="AI174" i="1"/>
  <c r="AJ174" i="1"/>
  <c r="CX174" i="1" s="1"/>
  <c r="CQ174" i="1"/>
  <c r="P174" i="1" s="1"/>
  <c r="J294" i="6" s="1"/>
  <c r="CW174" i="1"/>
  <c r="FR174" i="1"/>
  <c r="GL174" i="1"/>
  <c r="GN174" i="1"/>
  <c r="GO174" i="1"/>
  <c r="GV174" i="1"/>
  <c r="HC174" i="1" s="1"/>
  <c r="GX174" i="1" s="1"/>
  <c r="D175" i="1"/>
  <c r="I175" i="1"/>
  <c r="K175" i="1"/>
  <c r="AC175" i="1"/>
  <c r="CQ175" i="1" s="1"/>
  <c r="P175" i="1" s="1"/>
  <c r="AD175" i="1"/>
  <c r="AE175" i="1"/>
  <c r="AF175" i="1"/>
  <c r="AG175" i="1"/>
  <c r="AH175" i="1"/>
  <c r="AI175" i="1"/>
  <c r="AJ175" i="1"/>
  <c r="CT175" i="1"/>
  <c r="CU175" i="1"/>
  <c r="T175" i="1" s="1"/>
  <c r="CV175" i="1"/>
  <c r="U175" i="1" s="1"/>
  <c r="K304" i="6" s="1"/>
  <c r="CW175" i="1"/>
  <c r="CX175" i="1"/>
  <c r="W175" i="1" s="1"/>
  <c r="FR175" i="1"/>
  <c r="GL175" i="1"/>
  <c r="GN175" i="1"/>
  <c r="GO175" i="1"/>
  <c r="GV175" i="1"/>
  <c r="HC175" i="1" s="1"/>
  <c r="GX175" i="1" s="1"/>
  <c r="B177" i="1"/>
  <c r="B168" i="1" s="1"/>
  <c r="C177" i="1"/>
  <c r="C168" i="1" s="1"/>
  <c r="D177" i="1"/>
  <c r="D168" i="1" s="1"/>
  <c r="F177" i="1"/>
  <c r="F168" i="1" s="1"/>
  <c r="G177" i="1"/>
  <c r="BB177" i="1"/>
  <c r="BX177" i="1"/>
  <c r="CK177" i="1"/>
  <c r="CK168" i="1" s="1"/>
  <c r="CL177" i="1"/>
  <c r="CL168" i="1" s="1"/>
  <c r="CM177" i="1"/>
  <c r="CM168" i="1" s="1"/>
  <c r="D207" i="1"/>
  <c r="E209" i="1"/>
  <c r="Z209" i="1"/>
  <c r="AA209" i="1"/>
  <c r="AM209" i="1"/>
  <c r="AN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W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EG209" i="1"/>
  <c r="EH209" i="1"/>
  <c r="EI209" i="1"/>
  <c r="EJ209" i="1"/>
  <c r="EK209" i="1"/>
  <c r="EL209" i="1"/>
  <c r="EM209" i="1"/>
  <c r="EN209" i="1"/>
  <c r="EO209" i="1"/>
  <c r="EP209" i="1"/>
  <c r="EQ209" i="1"/>
  <c r="ER209" i="1"/>
  <c r="ES209" i="1"/>
  <c r="ET209" i="1"/>
  <c r="EU209" i="1"/>
  <c r="EV209" i="1"/>
  <c r="EW209" i="1"/>
  <c r="EX209" i="1"/>
  <c r="EY209" i="1"/>
  <c r="EZ209" i="1"/>
  <c r="FA209" i="1"/>
  <c r="FB209" i="1"/>
  <c r="FC209" i="1"/>
  <c r="FD209" i="1"/>
  <c r="FE209" i="1"/>
  <c r="FF209" i="1"/>
  <c r="FG209" i="1"/>
  <c r="FH209" i="1"/>
  <c r="FI209" i="1"/>
  <c r="FJ209" i="1"/>
  <c r="FK209" i="1"/>
  <c r="FL209" i="1"/>
  <c r="FM209" i="1"/>
  <c r="FN209" i="1"/>
  <c r="FO209" i="1"/>
  <c r="FP209" i="1"/>
  <c r="FQ209" i="1"/>
  <c r="FR209" i="1"/>
  <c r="FS209" i="1"/>
  <c r="FT209" i="1"/>
  <c r="FU209" i="1"/>
  <c r="FV209" i="1"/>
  <c r="FW209" i="1"/>
  <c r="FX209" i="1"/>
  <c r="FY209" i="1"/>
  <c r="FZ209" i="1"/>
  <c r="GA209" i="1"/>
  <c r="GB209" i="1"/>
  <c r="GC209" i="1"/>
  <c r="GD209" i="1"/>
  <c r="GE209" i="1"/>
  <c r="GF209" i="1"/>
  <c r="GG209" i="1"/>
  <c r="GH209" i="1"/>
  <c r="GI209" i="1"/>
  <c r="GJ209" i="1"/>
  <c r="GK209" i="1"/>
  <c r="GL209" i="1"/>
  <c r="GM209" i="1"/>
  <c r="GN209" i="1"/>
  <c r="GO209" i="1"/>
  <c r="GP209" i="1"/>
  <c r="GQ209" i="1"/>
  <c r="GR209" i="1"/>
  <c r="GS209" i="1"/>
  <c r="GT209" i="1"/>
  <c r="GU209" i="1"/>
  <c r="GV209" i="1"/>
  <c r="GW209" i="1"/>
  <c r="GX209" i="1"/>
  <c r="D211" i="1"/>
  <c r="AC211" i="1"/>
  <c r="AE211" i="1"/>
  <c r="AF211" i="1"/>
  <c r="AG211" i="1"/>
  <c r="CU211" i="1" s="1"/>
  <c r="T211" i="1" s="1"/>
  <c r="AH211" i="1"/>
  <c r="CV211" i="1" s="1"/>
  <c r="U211" i="1" s="1"/>
  <c r="K315" i="6" s="1"/>
  <c r="AI211" i="1"/>
  <c r="CW211" i="1" s="1"/>
  <c r="V211" i="1" s="1"/>
  <c r="AJ211" i="1"/>
  <c r="CX211" i="1" s="1"/>
  <c r="W211" i="1" s="1"/>
  <c r="CR211" i="1"/>
  <c r="Q211" i="1" s="1"/>
  <c r="CS211" i="1"/>
  <c r="FR211" i="1"/>
  <c r="GL211" i="1"/>
  <c r="GN211" i="1"/>
  <c r="GO211" i="1"/>
  <c r="GV211" i="1"/>
  <c r="HC211" i="1"/>
  <c r="GX211" i="1" s="1"/>
  <c r="D212" i="1"/>
  <c r="AC212" i="1"/>
  <c r="CQ212" i="1" s="1"/>
  <c r="P212" i="1" s="1"/>
  <c r="AD212" i="1"/>
  <c r="AE212" i="1"/>
  <c r="AF212" i="1"/>
  <c r="AG212" i="1"/>
  <c r="CU212" i="1" s="1"/>
  <c r="T212" i="1" s="1"/>
  <c r="AH212" i="1"/>
  <c r="CV212" i="1" s="1"/>
  <c r="U212" i="1" s="1"/>
  <c r="K321" i="6" s="1"/>
  <c r="AI212" i="1"/>
  <c r="CW212" i="1" s="1"/>
  <c r="V212" i="1" s="1"/>
  <c r="AJ212" i="1"/>
  <c r="CX212" i="1" s="1"/>
  <c r="W212" i="1" s="1"/>
  <c r="FR212" i="1"/>
  <c r="GL212" i="1"/>
  <c r="GN212" i="1"/>
  <c r="GO212" i="1"/>
  <c r="GV212" i="1"/>
  <c r="HC212" i="1" s="1"/>
  <c r="GX212" i="1" s="1"/>
  <c r="D213" i="1"/>
  <c r="AC213" i="1"/>
  <c r="AE213" i="1"/>
  <c r="AF213" i="1"/>
  <c r="AG213" i="1"/>
  <c r="CU213" i="1" s="1"/>
  <c r="T213" i="1" s="1"/>
  <c r="AH213" i="1"/>
  <c r="CV213" i="1" s="1"/>
  <c r="U213" i="1" s="1"/>
  <c r="K327" i="6" s="1"/>
  <c r="AI213" i="1"/>
  <c r="CW213" i="1" s="1"/>
  <c r="V213" i="1" s="1"/>
  <c r="AJ213" i="1"/>
  <c r="CX213" i="1" s="1"/>
  <c r="W213" i="1" s="1"/>
  <c r="CR213" i="1"/>
  <c r="Q213" i="1" s="1"/>
  <c r="FR213" i="1"/>
  <c r="GL213" i="1"/>
  <c r="GN213" i="1"/>
  <c r="GO213" i="1"/>
  <c r="GV213" i="1"/>
  <c r="HC213" i="1" s="1"/>
  <c r="GX213" i="1" s="1"/>
  <c r="D214" i="1"/>
  <c r="AC214" i="1"/>
  <c r="AE214" i="1"/>
  <c r="AF214" i="1"/>
  <c r="AG214" i="1"/>
  <c r="CU214" i="1" s="1"/>
  <c r="T214" i="1" s="1"/>
  <c r="AH214" i="1"/>
  <c r="CV214" i="1" s="1"/>
  <c r="U214" i="1" s="1"/>
  <c r="K334" i="6" s="1"/>
  <c r="AI214" i="1"/>
  <c r="CW214" i="1" s="1"/>
  <c r="V214" i="1" s="1"/>
  <c r="AJ214" i="1"/>
  <c r="CX214" i="1" s="1"/>
  <c r="W214" i="1" s="1"/>
  <c r="FR214" i="1"/>
  <c r="GL214" i="1"/>
  <c r="GN214" i="1"/>
  <c r="GO214" i="1"/>
  <c r="GV214" i="1"/>
  <c r="HC214" i="1" s="1"/>
  <c r="GX214" i="1" s="1"/>
  <c r="D215" i="1"/>
  <c r="U215" i="1"/>
  <c r="K344" i="6" s="1"/>
  <c r="AC215" i="1"/>
  <c r="AE215" i="1"/>
  <c r="U336" i="6" s="1"/>
  <c r="AF215" i="1"/>
  <c r="AG215" i="1"/>
  <c r="CU215" i="1" s="1"/>
  <c r="T215" i="1" s="1"/>
  <c r="AH215" i="1"/>
  <c r="CV215" i="1" s="1"/>
  <c r="AI215" i="1"/>
  <c r="CW215" i="1" s="1"/>
  <c r="V215" i="1" s="1"/>
  <c r="AJ215" i="1"/>
  <c r="CX215" i="1" s="1"/>
  <c r="W215" i="1" s="1"/>
  <c r="CQ215" i="1"/>
  <c r="P215" i="1" s="1"/>
  <c r="CR215" i="1"/>
  <c r="Q215" i="1" s="1"/>
  <c r="J338" i="6" s="1"/>
  <c r="FR215" i="1"/>
  <c r="GL215" i="1"/>
  <c r="GN215" i="1"/>
  <c r="GO215" i="1"/>
  <c r="GV215" i="1"/>
  <c r="HC215" i="1"/>
  <c r="GX215" i="1" s="1"/>
  <c r="D216" i="1"/>
  <c r="AC216" i="1"/>
  <c r="CQ216" i="1" s="1"/>
  <c r="P216" i="1" s="1"/>
  <c r="AE216" i="1"/>
  <c r="U346" i="6" s="1"/>
  <c r="AF216" i="1"/>
  <c r="AG216" i="1"/>
  <c r="CU216" i="1" s="1"/>
  <c r="T216" i="1" s="1"/>
  <c r="AH216" i="1"/>
  <c r="AI216" i="1"/>
  <c r="AJ216" i="1"/>
  <c r="CV216" i="1"/>
  <c r="U216" i="1" s="1"/>
  <c r="K350" i="6" s="1"/>
  <c r="CW216" i="1"/>
  <c r="V216" i="1" s="1"/>
  <c r="CX216" i="1"/>
  <c r="W216" i="1" s="1"/>
  <c r="FR216" i="1"/>
  <c r="GL216" i="1"/>
  <c r="GN216" i="1"/>
  <c r="GO216" i="1"/>
  <c r="GV216" i="1"/>
  <c r="HC216" i="1"/>
  <c r="GX216" i="1" s="1"/>
  <c r="D217" i="1"/>
  <c r="AC217" i="1"/>
  <c r="AE217" i="1"/>
  <c r="AF217" i="1"/>
  <c r="AG217" i="1"/>
  <c r="CU217" i="1" s="1"/>
  <c r="T217" i="1" s="1"/>
  <c r="AH217" i="1"/>
  <c r="CV217" i="1" s="1"/>
  <c r="U217" i="1" s="1"/>
  <c r="K356" i="6" s="1"/>
  <c r="AI217" i="1"/>
  <c r="CW217" i="1" s="1"/>
  <c r="V217" i="1" s="1"/>
  <c r="AJ217" i="1"/>
  <c r="CX217" i="1" s="1"/>
  <c r="W217" i="1" s="1"/>
  <c r="CQ217" i="1"/>
  <c r="P217" i="1" s="1"/>
  <c r="CR217" i="1"/>
  <c r="Q217" i="1" s="1"/>
  <c r="CS217" i="1"/>
  <c r="V352" i="6" s="1"/>
  <c r="CT217" i="1"/>
  <c r="S217" i="1" s="1"/>
  <c r="J353" i="6" s="1"/>
  <c r="FR217" i="1"/>
  <c r="GL217" i="1"/>
  <c r="GN217" i="1"/>
  <c r="GO217" i="1"/>
  <c r="GV217" i="1"/>
  <c r="HC217" i="1"/>
  <c r="GX217" i="1" s="1"/>
  <c r="D218" i="1"/>
  <c r="AC218" i="1"/>
  <c r="CQ218" i="1" s="1"/>
  <c r="P218" i="1" s="1"/>
  <c r="J361" i="6" s="1"/>
  <c r="AE218" i="1"/>
  <c r="AF218" i="1"/>
  <c r="AG218" i="1"/>
  <c r="CU218" i="1" s="1"/>
  <c r="T218" i="1" s="1"/>
  <c r="AH218" i="1"/>
  <c r="AI218" i="1"/>
  <c r="AJ218" i="1"/>
  <c r="CV218" i="1"/>
  <c r="U218" i="1" s="1"/>
  <c r="K364" i="6" s="1"/>
  <c r="CW218" i="1"/>
  <c r="V218" i="1" s="1"/>
  <c r="CX218" i="1"/>
  <c r="W218" i="1" s="1"/>
  <c r="FR218" i="1"/>
  <c r="GL218" i="1"/>
  <c r="GN218" i="1"/>
  <c r="GO218" i="1"/>
  <c r="GV218" i="1"/>
  <c r="HC218" i="1"/>
  <c r="GX218" i="1" s="1"/>
  <c r="D219" i="1"/>
  <c r="AC219" i="1"/>
  <c r="CQ219" i="1" s="1"/>
  <c r="P219" i="1" s="1"/>
  <c r="J369" i="6" s="1"/>
  <c r="AE219" i="1"/>
  <c r="U366" i="6" s="1"/>
  <c r="AF219" i="1"/>
  <c r="AG219" i="1"/>
  <c r="CU219" i="1" s="1"/>
  <c r="T219" i="1" s="1"/>
  <c r="AH219" i="1"/>
  <c r="CV219" i="1" s="1"/>
  <c r="U219" i="1" s="1"/>
  <c r="K372" i="6" s="1"/>
  <c r="AI219" i="1"/>
  <c r="CW219" i="1" s="1"/>
  <c r="V219" i="1" s="1"/>
  <c r="AJ219" i="1"/>
  <c r="CX219" i="1"/>
  <c r="W219" i="1" s="1"/>
  <c r="FR219" i="1"/>
  <c r="GL219" i="1"/>
  <c r="GN219" i="1"/>
  <c r="GO219" i="1"/>
  <c r="GV219" i="1"/>
  <c r="HC219" i="1"/>
  <c r="GX219" i="1" s="1"/>
  <c r="D220" i="1"/>
  <c r="AC220" i="1"/>
  <c r="CQ220" i="1" s="1"/>
  <c r="P220" i="1" s="1"/>
  <c r="J378" i="6" s="1"/>
  <c r="AE220" i="1"/>
  <c r="AF220" i="1"/>
  <c r="AG220" i="1"/>
  <c r="CU220" i="1" s="1"/>
  <c r="T220" i="1" s="1"/>
  <c r="AH220" i="1"/>
  <c r="CV220" i="1" s="1"/>
  <c r="U220" i="1" s="1"/>
  <c r="K382" i="6" s="1"/>
  <c r="AI220" i="1"/>
  <c r="CW220" i="1" s="1"/>
  <c r="V220" i="1" s="1"/>
  <c r="AJ220" i="1"/>
  <c r="CX220" i="1" s="1"/>
  <c r="W220" i="1" s="1"/>
  <c r="FR220" i="1"/>
  <c r="GL220" i="1"/>
  <c r="GN220" i="1"/>
  <c r="GO220" i="1"/>
  <c r="GV220" i="1"/>
  <c r="HC220" i="1" s="1"/>
  <c r="GX220" i="1" s="1"/>
  <c r="D221" i="1"/>
  <c r="AC221" i="1"/>
  <c r="CQ221" i="1" s="1"/>
  <c r="P221" i="1" s="1"/>
  <c r="J386" i="6" s="1"/>
  <c r="AE221" i="1"/>
  <c r="U384" i="6" s="1"/>
  <c r="AF221" i="1"/>
  <c r="AG221" i="1"/>
  <c r="CU221" i="1" s="1"/>
  <c r="T221" i="1" s="1"/>
  <c r="AH221" i="1"/>
  <c r="CV221" i="1" s="1"/>
  <c r="U221" i="1" s="1"/>
  <c r="K389" i="6" s="1"/>
  <c r="AI221" i="1"/>
  <c r="CW221" i="1" s="1"/>
  <c r="V221" i="1" s="1"/>
  <c r="AJ221" i="1"/>
  <c r="CX221" i="1" s="1"/>
  <c r="W221" i="1" s="1"/>
  <c r="CT221" i="1"/>
  <c r="S221" i="1" s="1"/>
  <c r="FR221" i="1"/>
  <c r="GL221" i="1"/>
  <c r="GN221" i="1"/>
  <c r="GO221" i="1"/>
  <c r="GV221" i="1"/>
  <c r="HC221" i="1" s="1"/>
  <c r="GX221" i="1" s="1"/>
  <c r="D222" i="1"/>
  <c r="AC222" i="1"/>
  <c r="AE222" i="1"/>
  <c r="AF222" i="1"/>
  <c r="AG222" i="1"/>
  <c r="CU222" i="1" s="1"/>
  <c r="T222" i="1" s="1"/>
  <c r="AH222" i="1"/>
  <c r="CV222" i="1" s="1"/>
  <c r="U222" i="1" s="1"/>
  <c r="K395" i="6" s="1"/>
  <c r="AI222" i="1"/>
  <c r="CW222" i="1" s="1"/>
  <c r="V222" i="1" s="1"/>
  <c r="AJ222" i="1"/>
  <c r="CX222" i="1" s="1"/>
  <c r="W222" i="1" s="1"/>
  <c r="CQ222" i="1"/>
  <c r="P222" i="1" s="1"/>
  <c r="FR222" i="1"/>
  <c r="GL222" i="1"/>
  <c r="GN222" i="1"/>
  <c r="GO222" i="1"/>
  <c r="GV222" i="1"/>
  <c r="HC222" i="1" s="1"/>
  <c r="GX222" i="1" s="1"/>
  <c r="D223" i="1"/>
  <c r="I223" i="1"/>
  <c r="K223" i="1"/>
  <c r="T223" i="1"/>
  <c r="AC223" i="1"/>
  <c r="CQ223" i="1" s="1"/>
  <c r="P223" i="1" s="1"/>
  <c r="AE223" i="1"/>
  <c r="AF223" i="1"/>
  <c r="AG223" i="1"/>
  <c r="CU223" i="1" s="1"/>
  <c r="AH223" i="1"/>
  <c r="CV223" i="1" s="1"/>
  <c r="AI223" i="1"/>
  <c r="CW223" i="1" s="1"/>
  <c r="AJ223" i="1"/>
  <c r="CX223" i="1" s="1"/>
  <c r="FR223" i="1"/>
  <c r="GL223" i="1"/>
  <c r="GN223" i="1"/>
  <c r="GO223" i="1"/>
  <c r="GV223" i="1"/>
  <c r="HC223" i="1"/>
  <c r="GX223" i="1" s="1"/>
  <c r="D224" i="1"/>
  <c r="I224" i="1"/>
  <c r="K224" i="1"/>
  <c r="AC224" i="1"/>
  <c r="CQ224" i="1" s="1"/>
  <c r="AE224" i="1"/>
  <c r="AF224" i="1"/>
  <c r="AG224" i="1"/>
  <c r="CU224" i="1" s="1"/>
  <c r="AH224" i="1"/>
  <c r="CV224" i="1" s="1"/>
  <c r="U224" i="1" s="1"/>
  <c r="K417" i="6" s="1"/>
  <c r="AI224" i="1"/>
  <c r="CW224" i="1" s="1"/>
  <c r="AJ224" i="1"/>
  <c r="CX224" i="1" s="1"/>
  <c r="W224" i="1" s="1"/>
  <c r="CR224" i="1"/>
  <c r="Q224" i="1" s="1"/>
  <c r="J411" i="6" s="1"/>
  <c r="FR224" i="1"/>
  <c r="GL224" i="1"/>
  <c r="GN224" i="1"/>
  <c r="GO224" i="1"/>
  <c r="GV224" i="1"/>
  <c r="HC224" i="1" s="1"/>
  <c r="GX224" i="1" s="1"/>
  <c r="D225" i="1"/>
  <c r="I225" i="1"/>
  <c r="K225" i="1"/>
  <c r="AC225" i="1"/>
  <c r="CQ225" i="1" s="1"/>
  <c r="AE225" i="1"/>
  <c r="U419" i="6" s="1"/>
  <c r="AF225" i="1"/>
  <c r="AG225" i="1"/>
  <c r="CU225" i="1" s="1"/>
  <c r="AH225" i="1"/>
  <c r="CV225" i="1" s="1"/>
  <c r="AI225" i="1"/>
  <c r="CW225" i="1" s="1"/>
  <c r="AJ225" i="1"/>
  <c r="CX225" i="1" s="1"/>
  <c r="FR225" i="1"/>
  <c r="GL225" i="1"/>
  <c r="GN225" i="1"/>
  <c r="GO225" i="1"/>
  <c r="GV225" i="1"/>
  <c r="HC225" i="1" s="1"/>
  <c r="D226" i="1"/>
  <c r="AC226" i="1"/>
  <c r="CQ226" i="1" s="1"/>
  <c r="P226" i="1" s="1"/>
  <c r="J428" i="6" s="1"/>
  <c r="AE226" i="1"/>
  <c r="AF226" i="1"/>
  <c r="AG226" i="1"/>
  <c r="CU226" i="1" s="1"/>
  <c r="T226" i="1" s="1"/>
  <c r="AH226" i="1"/>
  <c r="CV226" i="1" s="1"/>
  <c r="U226" i="1" s="1"/>
  <c r="K431" i="6" s="1"/>
  <c r="AI226" i="1"/>
  <c r="CW226" i="1" s="1"/>
  <c r="V226" i="1" s="1"/>
  <c r="AJ226" i="1"/>
  <c r="CX226" i="1" s="1"/>
  <c r="W226" i="1" s="1"/>
  <c r="FR226" i="1"/>
  <c r="GL226" i="1"/>
  <c r="GN226" i="1"/>
  <c r="GO226" i="1"/>
  <c r="GV226" i="1"/>
  <c r="HC226" i="1" s="1"/>
  <c r="GX226" i="1" s="1"/>
  <c r="D227" i="1"/>
  <c r="I227" i="1"/>
  <c r="K227" i="1"/>
  <c r="AC227" i="1"/>
  <c r="CQ227" i="1" s="1"/>
  <c r="P227" i="1" s="1"/>
  <c r="AE227" i="1"/>
  <c r="U433" i="6" s="1"/>
  <c r="AF227" i="1"/>
  <c r="AG227" i="1"/>
  <c r="CU227" i="1" s="1"/>
  <c r="T227" i="1" s="1"/>
  <c r="AH227" i="1"/>
  <c r="CV227" i="1" s="1"/>
  <c r="U227" i="1" s="1"/>
  <c r="K442" i="6" s="1"/>
  <c r="AI227" i="1"/>
  <c r="CW227" i="1" s="1"/>
  <c r="V227" i="1" s="1"/>
  <c r="AJ227" i="1"/>
  <c r="CX227" i="1" s="1"/>
  <c r="W227" i="1" s="1"/>
  <c r="FR227" i="1"/>
  <c r="GL227" i="1"/>
  <c r="GN227" i="1"/>
  <c r="GO227" i="1"/>
  <c r="GV227" i="1"/>
  <c r="HC227" i="1" s="1"/>
  <c r="GX227" i="1" s="1"/>
  <c r="D228" i="1"/>
  <c r="I228" i="1"/>
  <c r="K228" i="1"/>
  <c r="AC228" i="1"/>
  <c r="CQ228" i="1" s="1"/>
  <c r="P228" i="1" s="1"/>
  <c r="AE228" i="1"/>
  <c r="AF228" i="1"/>
  <c r="AG228" i="1"/>
  <c r="CU228" i="1" s="1"/>
  <c r="T228" i="1" s="1"/>
  <c r="AH228" i="1"/>
  <c r="AI228" i="1"/>
  <c r="AJ228" i="1"/>
  <c r="CV228" i="1"/>
  <c r="U228" i="1" s="1"/>
  <c r="K450" i="6" s="1"/>
  <c r="CW228" i="1"/>
  <c r="V228" i="1" s="1"/>
  <c r="CX228" i="1"/>
  <c r="W228" i="1" s="1"/>
  <c r="FR228" i="1"/>
  <c r="GL228" i="1"/>
  <c r="GN228" i="1"/>
  <c r="GO228" i="1"/>
  <c r="GV228" i="1"/>
  <c r="HC228" i="1"/>
  <c r="GX228" i="1" s="1"/>
  <c r="D229" i="1"/>
  <c r="I229" i="1"/>
  <c r="K229" i="1"/>
  <c r="AC229" i="1"/>
  <c r="CQ229" i="1" s="1"/>
  <c r="P229" i="1" s="1"/>
  <c r="AE229" i="1"/>
  <c r="U452" i="6" s="1"/>
  <c r="AF229" i="1"/>
  <c r="AG229" i="1"/>
  <c r="CU229" i="1" s="1"/>
  <c r="T229" i="1" s="1"/>
  <c r="AH229" i="1"/>
  <c r="AI229" i="1"/>
  <c r="AJ229" i="1"/>
  <c r="CX229" i="1" s="1"/>
  <c r="CV229" i="1"/>
  <c r="CW229" i="1"/>
  <c r="FR229" i="1"/>
  <c r="GL229" i="1"/>
  <c r="GN229" i="1"/>
  <c r="GO229" i="1"/>
  <c r="GV229" i="1"/>
  <c r="HC229" i="1"/>
  <c r="B231" i="1"/>
  <c r="B209" i="1" s="1"/>
  <c r="C231" i="1"/>
  <c r="C209" i="1" s="1"/>
  <c r="D231" i="1"/>
  <c r="D209" i="1" s="1"/>
  <c r="F231" i="1"/>
  <c r="F209" i="1" s="1"/>
  <c r="G231" i="1"/>
  <c r="A460" i="6" s="1"/>
  <c r="BX231" i="1"/>
  <c r="CK231" i="1"/>
  <c r="CL231" i="1"/>
  <c r="CM231" i="1"/>
  <c r="CM209" i="1" s="1"/>
  <c r="D261" i="1"/>
  <c r="E263" i="1"/>
  <c r="Z263" i="1"/>
  <c r="AA263" i="1"/>
  <c r="AM263" i="1"/>
  <c r="AN263" i="1"/>
  <c r="AO263" i="1"/>
  <c r="BB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BX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EH263" i="1"/>
  <c r="EI263" i="1"/>
  <c r="EJ263" i="1"/>
  <c r="EK263" i="1"/>
  <c r="EL263" i="1"/>
  <c r="EM263" i="1"/>
  <c r="EN263" i="1"/>
  <c r="EO263" i="1"/>
  <c r="EP263" i="1"/>
  <c r="EQ263" i="1"/>
  <c r="ER263" i="1"/>
  <c r="ES263" i="1"/>
  <c r="ET263" i="1"/>
  <c r="EU263" i="1"/>
  <c r="EV263" i="1"/>
  <c r="EW263" i="1"/>
  <c r="EX263" i="1"/>
  <c r="EY263" i="1"/>
  <c r="EZ263" i="1"/>
  <c r="FA263" i="1"/>
  <c r="FB263" i="1"/>
  <c r="FC263" i="1"/>
  <c r="FD263" i="1"/>
  <c r="FE263" i="1"/>
  <c r="FF263" i="1"/>
  <c r="FG263" i="1"/>
  <c r="FH263" i="1"/>
  <c r="FI263" i="1"/>
  <c r="FJ263" i="1"/>
  <c r="FK263" i="1"/>
  <c r="FL263" i="1"/>
  <c r="FM263" i="1"/>
  <c r="FN263" i="1"/>
  <c r="FO263" i="1"/>
  <c r="FP263" i="1"/>
  <c r="FQ263" i="1"/>
  <c r="FR263" i="1"/>
  <c r="FS263" i="1"/>
  <c r="FT263" i="1"/>
  <c r="FU263" i="1"/>
  <c r="FV263" i="1"/>
  <c r="FW263" i="1"/>
  <c r="FX263" i="1"/>
  <c r="FY263" i="1"/>
  <c r="FZ263" i="1"/>
  <c r="GA263" i="1"/>
  <c r="GB263" i="1"/>
  <c r="GC263" i="1"/>
  <c r="GD263" i="1"/>
  <c r="GE263" i="1"/>
  <c r="GF263" i="1"/>
  <c r="GG263" i="1"/>
  <c r="GH263" i="1"/>
  <c r="GI263" i="1"/>
  <c r="GJ263" i="1"/>
  <c r="GK263" i="1"/>
  <c r="GL263" i="1"/>
  <c r="GM263" i="1"/>
  <c r="GN263" i="1"/>
  <c r="GO263" i="1"/>
  <c r="GP263" i="1"/>
  <c r="GQ263" i="1"/>
  <c r="GR263" i="1"/>
  <c r="GS263" i="1"/>
  <c r="GT263" i="1"/>
  <c r="GU263" i="1"/>
  <c r="GV263" i="1"/>
  <c r="GW263" i="1"/>
  <c r="GX263" i="1"/>
  <c r="D265" i="1"/>
  <c r="AC265" i="1"/>
  <c r="CQ265" i="1" s="1"/>
  <c r="P265" i="1" s="1"/>
  <c r="AE265" i="1"/>
  <c r="AF265" i="1"/>
  <c r="CT265" i="1" s="1"/>
  <c r="S265" i="1" s="1"/>
  <c r="AG265" i="1"/>
  <c r="CU265" i="1" s="1"/>
  <c r="T265" i="1" s="1"/>
  <c r="AH265" i="1"/>
  <c r="CV265" i="1" s="1"/>
  <c r="U265" i="1" s="1"/>
  <c r="AI265" i="1"/>
  <c r="CW265" i="1" s="1"/>
  <c r="V265" i="1" s="1"/>
  <c r="AJ265" i="1"/>
  <c r="CX265" i="1" s="1"/>
  <c r="W265" i="1" s="1"/>
  <c r="FR265" i="1"/>
  <c r="GL265" i="1"/>
  <c r="GN265" i="1"/>
  <c r="GO265" i="1"/>
  <c r="GV265" i="1"/>
  <c r="HC265" i="1" s="1"/>
  <c r="GX265" i="1" s="1"/>
  <c r="D266" i="1"/>
  <c r="AC266" i="1"/>
  <c r="CQ266" i="1" s="1"/>
  <c r="P266" i="1" s="1"/>
  <c r="AE266" i="1"/>
  <c r="CS266" i="1" s="1"/>
  <c r="R266" i="1" s="1"/>
  <c r="GK266" i="1" s="1"/>
  <c r="AF266" i="1"/>
  <c r="CT266" i="1" s="1"/>
  <c r="S266" i="1" s="1"/>
  <c r="AG266" i="1"/>
  <c r="CU266" i="1" s="1"/>
  <c r="T266" i="1" s="1"/>
  <c r="AH266" i="1"/>
  <c r="CV266" i="1" s="1"/>
  <c r="U266" i="1" s="1"/>
  <c r="AI266" i="1"/>
  <c r="CW266" i="1" s="1"/>
  <c r="V266" i="1" s="1"/>
  <c r="AJ266" i="1"/>
  <c r="CX266" i="1" s="1"/>
  <c r="W266" i="1" s="1"/>
  <c r="CR266" i="1"/>
  <c r="Q266" i="1" s="1"/>
  <c r="FR266" i="1"/>
  <c r="GL266" i="1"/>
  <c r="GN266" i="1"/>
  <c r="GO266" i="1"/>
  <c r="GV266" i="1"/>
  <c r="HC266" i="1" s="1"/>
  <c r="GX266" i="1" s="1"/>
  <c r="D267" i="1"/>
  <c r="V267" i="1"/>
  <c r="W267" i="1"/>
  <c r="AC267" i="1"/>
  <c r="AE267" i="1"/>
  <c r="U464" i="6" s="1"/>
  <c r="AF267" i="1"/>
  <c r="AG267" i="1"/>
  <c r="AH267" i="1"/>
  <c r="AI267" i="1"/>
  <c r="CW267" i="1" s="1"/>
  <c r="AJ267" i="1"/>
  <c r="CU267" i="1"/>
  <c r="T267" i="1" s="1"/>
  <c r="CV267" i="1"/>
  <c r="U267" i="1" s="1"/>
  <c r="K471" i="6" s="1"/>
  <c r="CX267" i="1"/>
  <c r="FR267" i="1"/>
  <c r="GL267" i="1"/>
  <c r="GN267" i="1"/>
  <c r="GO267" i="1"/>
  <c r="GV267" i="1"/>
  <c r="HC267" i="1" s="1"/>
  <c r="GX267" i="1" s="1"/>
  <c r="D268" i="1"/>
  <c r="I268" i="1"/>
  <c r="K268" i="1"/>
  <c r="AC268" i="1"/>
  <c r="CQ268" i="1" s="1"/>
  <c r="P268" i="1" s="1"/>
  <c r="J476" i="6" s="1"/>
  <c r="AE268" i="1"/>
  <c r="U473" i="6" s="1"/>
  <c r="AF268" i="1"/>
  <c r="AG268" i="1"/>
  <c r="CU268" i="1" s="1"/>
  <c r="AH268" i="1"/>
  <c r="CV268" i="1" s="1"/>
  <c r="AI268" i="1"/>
  <c r="CW268" i="1" s="1"/>
  <c r="AJ268" i="1"/>
  <c r="CX268" i="1" s="1"/>
  <c r="FR268" i="1"/>
  <c r="GL268" i="1"/>
  <c r="GN268" i="1"/>
  <c r="GO268" i="1"/>
  <c r="GV268" i="1"/>
  <c r="HC268" i="1" s="1"/>
  <c r="D269" i="1"/>
  <c r="P269" i="1"/>
  <c r="J485" i="6" s="1"/>
  <c r="AC269" i="1"/>
  <c r="CQ269" i="1" s="1"/>
  <c r="AE269" i="1"/>
  <c r="AF269" i="1"/>
  <c r="AG269" i="1"/>
  <c r="AH269" i="1"/>
  <c r="CV269" i="1" s="1"/>
  <c r="U269" i="1" s="1"/>
  <c r="K489" i="6" s="1"/>
  <c r="AI269" i="1"/>
  <c r="CW269" i="1" s="1"/>
  <c r="V269" i="1" s="1"/>
  <c r="AJ269" i="1"/>
  <c r="CX269" i="1" s="1"/>
  <c r="W269" i="1" s="1"/>
  <c r="CR269" i="1"/>
  <c r="Q269" i="1" s="1"/>
  <c r="J483" i="6" s="1"/>
  <c r="CS269" i="1"/>
  <c r="CT269" i="1"/>
  <c r="S269" i="1" s="1"/>
  <c r="J482" i="6" s="1"/>
  <c r="CU269" i="1"/>
  <c r="T269" i="1" s="1"/>
  <c r="FR269" i="1"/>
  <c r="GL269" i="1"/>
  <c r="GN269" i="1"/>
  <c r="GO269" i="1"/>
  <c r="GV269" i="1"/>
  <c r="HC269" i="1"/>
  <c r="GX269" i="1" s="1"/>
  <c r="D270" i="1"/>
  <c r="AC270" i="1"/>
  <c r="AE270" i="1"/>
  <c r="U491" i="6" s="1"/>
  <c r="AF270" i="1"/>
  <c r="AG270" i="1"/>
  <c r="CU270" i="1" s="1"/>
  <c r="T270" i="1" s="1"/>
  <c r="AH270" i="1"/>
  <c r="CV270" i="1" s="1"/>
  <c r="U270" i="1" s="1"/>
  <c r="K498" i="6" s="1"/>
  <c r="AI270" i="1"/>
  <c r="CW270" i="1" s="1"/>
  <c r="V270" i="1" s="1"/>
  <c r="AJ270" i="1"/>
  <c r="CX270" i="1" s="1"/>
  <c r="W270" i="1" s="1"/>
  <c r="FR270" i="1"/>
  <c r="GL270" i="1"/>
  <c r="GN270" i="1"/>
  <c r="GO270" i="1"/>
  <c r="GV270" i="1"/>
  <c r="HC270" i="1" s="1"/>
  <c r="GX270" i="1" s="1"/>
  <c r="D271" i="1"/>
  <c r="AC271" i="1"/>
  <c r="AE271" i="1"/>
  <c r="AF271" i="1"/>
  <c r="AG271" i="1"/>
  <c r="CU271" i="1" s="1"/>
  <c r="T271" i="1" s="1"/>
  <c r="AH271" i="1"/>
  <c r="CV271" i="1" s="1"/>
  <c r="U271" i="1" s="1"/>
  <c r="K504" i="6" s="1"/>
  <c r="AI271" i="1"/>
  <c r="CW271" i="1" s="1"/>
  <c r="V271" i="1" s="1"/>
  <c r="AJ271" i="1"/>
  <c r="CX271" i="1" s="1"/>
  <c r="W271" i="1" s="1"/>
  <c r="CQ271" i="1"/>
  <c r="P271" i="1" s="1"/>
  <c r="CP271" i="1" s="1"/>
  <c r="O271" i="1" s="1"/>
  <c r="CR271" i="1"/>
  <c r="Q271" i="1" s="1"/>
  <c r="CS271" i="1"/>
  <c r="CT271" i="1"/>
  <c r="S271" i="1" s="1"/>
  <c r="J501" i="6" s="1"/>
  <c r="FR271" i="1"/>
  <c r="GL271" i="1"/>
  <c r="GN271" i="1"/>
  <c r="GO271" i="1"/>
  <c r="GV271" i="1"/>
  <c r="HC271" i="1" s="1"/>
  <c r="GX271" i="1" s="1"/>
  <c r="B273" i="1"/>
  <c r="B263" i="1" s="1"/>
  <c r="C273" i="1"/>
  <c r="C263" i="1" s="1"/>
  <c r="D273" i="1"/>
  <c r="D263" i="1" s="1"/>
  <c r="F273" i="1"/>
  <c r="F263" i="1" s="1"/>
  <c r="G273" i="1"/>
  <c r="A507" i="6" s="1"/>
  <c r="BX273" i="1"/>
  <c r="AO273" i="1" s="1"/>
  <c r="F277" i="1" s="1"/>
  <c r="CK273" i="1"/>
  <c r="BB273" i="1" s="1"/>
  <c r="F286" i="1" s="1"/>
  <c r="CL273" i="1"/>
  <c r="BC273" i="1" s="1"/>
  <c r="CM273" i="1"/>
  <c r="BD273" i="1" s="1"/>
  <c r="F298" i="1" s="1"/>
  <c r="B303" i="1"/>
  <c r="B22" i="1" s="1"/>
  <c r="C303" i="1"/>
  <c r="C22" i="1" s="1"/>
  <c r="D303" i="1"/>
  <c r="D22" i="1" s="1"/>
  <c r="F303" i="1"/>
  <c r="F22" i="1" s="1"/>
  <c r="G303" i="1"/>
  <c r="D333" i="1"/>
  <c r="E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BE335" i="1"/>
  <c r="BF335" i="1"/>
  <c r="BG335" i="1"/>
  <c r="BH335" i="1"/>
  <c r="BI335" i="1"/>
  <c r="BJ335" i="1"/>
  <c r="BK335" i="1"/>
  <c r="BL335" i="1"/>
  <c r="BM335" i="1"/>
  <c r="BN335" i="1"/>
  <c r="BO335" i="1"/>
  <c r="BP335" i="1"/>
  <c r="BQ335" i="1"/>
  <c r="BR335" i="1"/>
  <c r="BS335" i="1"/>
  <c r="BT335" i="1"/>
  <c r="BU335" i="1"/>
  <c r="BV335" i="1"/>
  <c r="BW335" i="1"/>
  <c r="BX335" i="1"/>
  <c r="BY335" i="1"/>
  <c r="BZ335" i="1"/>
  <c r="CA335" i="1"/>
  <c r="CB335" i="1"/>
  <c r="CC335" i="1"/>
  <c r="CD335" i="1"/>
  <c r="CE335" i="1"/>
  <c r="CF335" i="1"/>
  <c r="CG335" i="1"/>
  <c r="CH335" i="1"/>
  <c r="CI335" i="1"/>
  <c r="CJ335" i="1"/>
  <c r="CK335" i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EG335" i="1"/>
  <c r="EH335" i="1"/>
  <c r="EI335" i="1"/>
  <c r="EJ335" i="1"/>
  <c r="EK335" i="1"/>
  <c r="EL335" i="1"/>
  <c r="EM335" i="1"/>
  <c r="EN335" i="1"/>
  <c r="EO335" i="1"/>
  <c r="EP335" i="1"/>
  <c r="EQ335" i="1"/>
  <c r="ER335" i="1"/>
  <c r="ES335" i="1"/>
  <c r="ET335" i="1"/>
  <c r="EU335" i="1"/>
  <c r="EV335" i="1"/>
  <c r="EW335" i="1"/>
  <c r="EX335" i="1"/>
  <c r="EY335" i="1"/>
  <c r="EZ335" i="1"/>
  <c r="FA335" i="1"/>
  <c r="FB335" i="1"/>
  <c r="FC335" i="1"/>
  <c r="FD335" i="1"/>
  <c r="FE335" i="1"/>
  <c r="FF335" i="1"/>
  <c r="FG335" i="1"/>
  <c r="FH335" i="1"/>
  <c r="FI335" i="1"/>
  <c r="FJ335" i="1"/>
  <c r="FK335" i="1"/>
  <c r="FL335" i="1"/>
  <c r="FM335" i="1"/>
  <c r="FN335" i="1"/>
  <c r="FO335" i="1"/>
  <c r="FP335" i="1"/>
  <c r="FQ335" i="1"/>
  <c r="FR335" i="1"/>
  <c r="FS335" i="1"/>
  <c r="FT335" i="1"/>
  <c r="FU335" i="1"/>
  <c r="FV335" i="1"/>
  <c r="FW335" i="1"/>
  <c r="FX335" i="1"/>
  <c r="FY335" i="1"/>
  <c r="FZ335" i="1"/>
  <c r="GA335" i="1"/>
  <c r="GB335" i="1"/>
  <c r="GC335" i="1"/>
  <c r="GD335" i="1"/>
  <c r="GE335" i="1"/>
  <c r="GF335" i="1"/>
  <c r="GG335" i="1"/>
  <c r="GH335" i="1"/>
  <c r="GI335" i="1"/>
  <c r="GJ335" i="1"/>
  <c r="GK335" i="1"/>
  <c r="GL335" i="1"/>
  <c r="GM335" i="1"/>
  <c r="GN335" i="1"/>
  <c r="GO335" i="1"/>
  <c r="GP335" i="1"/>
  <c r="GQ335" i="1"/>
  <c r="GR335" i="1"/>
  <c r="GS335" i="1"/>
  <c r="GT335" i="1"/>
  <c r="GU335" i="1"/>
  <c r="GV335" i="1"/>
  <c r="GW335" i="1"/>
  <c r="GX335" i="1"/>
  <c r="D337" i="1"/>
  <c r="E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BE339" i="1"/>
  <c r="BF339" i="1"/>
  <c r="BG339" i="1"/>
  <c r="BH339" i="1"/>
  <c r="BI339" i="1"/>
  <c r="BJ339" i="1"/>
  <c r="BK339" i="1"/>
  <c r="BL339" i="1"/>
  <c r="BM339" i="1"/>
  <c r="BN339" i="1"/>
  <c r="BO339" i="1"/>
  <c r="BP339" i="1"/>
  <c r="BQ339" i="1"/>
  <c r="BR339" i="1"/>
  <c r="BS339" i="1"/>
  <c r="BT339" i="1"/>
  <c r="BU339" i="1"/>
  <c r="BV339" i="1"/>
  <c r="BW339" i="1"/>
  <c r="BX339" i="1"/>
  <c r="BY339" i="1"/>
  <c r="BZ339" i="1"/>
  <c r="CA339" i="1"/>
  <c r="CB339" i="1"/>
  <c r="CC339" i="1"/>
  <c r="CD339" i="1"/>
  <c r="CE339" i="1"/>
  <c r="CF339" i="1"/>
  <c r="CG339" i="1"/>
  <c r="CH339" i="1"/>
  <c r="CI339" i="1"/>
  <c r="CJ339" i="1"/>
  <c r="CK339" i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EG339" i="1"/>
  <c r="EH339" i="1"/>
  <c r="EI339" i="1"/>
  <c r="EJ339" i="1"/>
  <c r="EK339" i="1"/>
  <c r="EL339" i="1"/>
  <c r="EM339" i="1"/>
  <c r="EN339" i="1"/>
  <c r="EO339" i="1"/>
  <c r="EP339" i="1"/>
  <c r="EQ339" i="1"/>
  <c r="ER339" i="1"/>
  <c r="ES339" i="1"/>
  <c r="ET339" i="1"/>
  <c r="EU339" i="1"/>
  <c r="EV339" i="1"/>
  <c r="EW339" i="1"/>
  <c r="EX339" i="1"/>
  <c r="EY339" i="1"/>
  <c r="EZ339" i="1"/>
  <c r="FA339" i="1"/>
  <c r="FB339" i="1"/>
  <c r="FC339" i="1"/>
  <c r="FD339" i="1"/>
  <c r="FE339" i="1"/>
  <c r="FF339" i="1"/>
  <c r="FG339" i="1"/>
  <c r="FH339" i="1"/>
  <c r="FI339" i="1"/>
  <c r="FJ339" i="1"/>
  <c r="FK339" i="1"/>
  <c r="FL339" i="1"/>
  <c r="FM339" i="1"/>
  <c r="FN339" i="1"/>
  <c r="FO339" i="1"/>
  <c r="FP339" i="1"/>
  <c r="FQ339" i="1"/>
  <c r="FR339" i="1"/>
  <c r="FS339" i="1"/>
  <c r="FT339" i="1"/>
  <c r="FU339" i="1"/>
  <c r="FV339" i="1"/>
  <c r="FW339" i="1"/>
  <c r="FX339" i="1"/>
  <c r="FY339" i="1"/>
  <c r="FZ339" i="1"/>
  <c r="GA339" i="1"/>
  <c r="GB339" i="1"/>
  <c r="GC339" i="1"/>
  <c r="GD339" i="1"/>
  <c r="GE339" i="1"/>
  <c r="GF339" i="1"/>
  <c r="GG339" i="1"/>
  <c r="GH339" i="1"/>
  <c r="GI339" i="1"/>
  <c r="GJ339" i="1"/>
  <c r="GK339" i="1"/>
  <c r="GL339" i="1"/>
  <c r="GM339" i="1"/>
  <c r="GN339" i="1"/>
  <c r="GO339" i="1"/>
  <c r="GP339" i="1"/>
  <c r="GQ339" i="1"/>
  <c r="GR339" i="1"/>
  <c r="GS339" i="1"/>
  <c r="GT339" i="1"/>
  <c r="GU339" i="1"/>
  <c r="GV339" i="1"/>
  <c r="GW339" i="1"/>
  <c r="GX339" i="1"/>
  <c r="D341" i="1"/>
  <c r="E343" i="1"/>
  <c r="Z343" i="1"/>
  <c r="AA343" i="1"/>
  <c r="AM343" i="1"/>
  <c r="AN343" i="1"/>
  <c r="BD343" i="1"/>
  <c r="BE343" i="1"/>
  <c r="BF343" i="1"/>
  <c r="BG343" i="1"/>
  <c r="BH343" i="1"/>
  <c r="BI343" i="1"/>
  <c r="BJ343" i="1"/>
  <c r="BK343" i="1"/>
  <c r="BL343" i="1"/>
  <c r="BM343" i="1"/>
  <c r="BN343" i="1"/>
  <c r="BO343" i="1"/>
  <c r="BP343" i="1"/>
  <c r="BQ343" i="1"/>
  <c r="BR343" i="1"/>
  <c r="BS343" i="1"/>
  <c r="BT343" i="1"/>
  <c r="BU343" i="1"/>
  <c r="BV343" i="1"/>
  <c r="BW343" i="1"/>
  <c r="CN343" i="1"/>
  <c r="CO343" i="1"/>
  <c r="CP343" i="1"/>
  <c r="CQ343" i="1"/>
  <c r="CR343" i="1"/>
  <c r="CS343" i="1"/>
  <c r="CT343" i="1"/>
  <c r="CU343" i="1"/>
  <c r="CV343" i="1"/>
  <c r="CW343" i="1"/>
  <c r="CX343" i="1"/>
  <c r="CY343" i="1"/>
  <c r="CZ343" i="1"/>
  <c r="DA343" i="1"/>
  <c r="DB343" i="1"/>
  <c r="DC343" i="1"/>
  <c r="DD343" i="1"/>
  <c r="DE343" i="1"/>
  <c r="DF343" i="1"/>
  <c r="DG343" i="1"/>
  <c r="DH343" i="1"/>
  <c r="DI343" i="1"/>
  <c r="DJ343" i="1"/>
  <c r="DK343" i="1"/>
  <c r="DL343" i="1"/>
  <c r="DM343" i="1"/>
  <c r="DN343" i="1"/>
  <c r="DO343" i="1"/>
  <c r="DP343" i="1"/>
  <c r="DQ343" i="1"/>
  <c r="DR343" i="1"/>
  <c r="DS343" i="1"/>
  <c r="DT343" i="1"/>
  <c r="DU343" i="1"/>
  <c r="DV343" i="1"/>
  <c r="DW343" i="1"/>
  <c r="DX343" i="1"/>
  <c r="DY343" i="1"/>
  <c r="DZ343" i="1"/>
  <c r="EA343" i="1"/>
  <c r="EB343" i="1"/>
  <c r="EC343" i="1"/>
  <c r="ED343" i="1"/>
  <c r="EE343" i="1"/>
  <c r="EF343" i="1"/>
  <c r="EG343" i="1"/>
  <c r="EH343" i="1"/>
  <c r="EI343" i="1"/>
  <c r="EJ343" i="1"/>
  <c r="EK343" i="1"/>
  <c r="EL343" i="1"/>
  <c r="EM343" i="1"/>
  <c r="EN343" i="1"/>
  <c r="EO343" i="1"/>
  <c r="EP343" i="1"/>
  <c r="EQ343" i="1"/>
  <c r="ER343" i="1"/>
  <c r="ES343" i="1"/>
  <c r="ET343" i="1"/>
  <c r="EU343" i="1"/>
  <c r="EV343" i="1"/>
  <c r="EW343" i="1"/>
  <c r="EX343" i="1"/>
  <c r="EY343" i="1"/>
  <c r="EZ343" i="1"/>
  <c r="FA343" i="1"/>
  <c r="FB343" i="1"/>
  <c r="FC343" i="1"/>
  <c r="FD343" i="1"/>
  <c r="FE343" i="1"/>
  <c r="FF343" i="1"/>
  <c r="FG343" i="1"/>
  <c r="FH343" i="1"/>
  <c r="FI343" i="1"/>
  <c r="FJ343" i="1"/>
  <c r="FK343" i="1"/>
  <c r="FL343" i="1"/>
  <c r="FM343" i="1"/>
  <c r="FN343" i="1"/>
  <c r="FO343" i="1"/>
  <c r="FP343" i="1"/>
  <c r="FQ343" i="1"/>
  <c r="FR343" i="1"/>
  <c r="FS343" i="1"/>
  <c r="FT343" i="1"/>
  <c r="FU343" i="1"/>
  <c r="FV343" i="1"/>
  <c r="FW343" i="1"/>
  <c r="FX343" i="1"/>
  <c r="FY343" i="1"/>
  <c r="FZ343" i="1"/>
  <c r="GA343" i="1"/>
  <c r="GB343" i="1"/>
  <c r="GC343" i="1"/>
  <c r="GD343" i="1"/>
  <c r="GE343" i="1"/>
  <c r="GF343" i="1"/>
  <c r="GG343" i="1"/>
  <c r="GH343" i="1"/>
  <c r="GI343" i="1"/>
  <c r="GJ343" i="1"/>
  <c r="GK343" i="1"/>
  <c r="GL343" i="1"/>
  <c r="GM343" i="1"/>
  <c r="GN343" i="1"/>
  <c r="GO343" i="1"/>
  <c r="GP343" i="1"/>
  <c r="GQ343" i="1"/>
  <c r="GR343" i="1"/>
  <c r="GS343" i="1"/>
  <c r="GT343" i="1"/>
  <c r="GU343" i="1"/>
  <c r="GV343" i="1"/>
  <c r="GW343" i="1"/>
  <c r="GX343" i="1"/>
  <c r="D345" i="1"/>
  <c r="AC345" i="1"/>
  <c r="AE345" i="1"/>
  <c r="AD345" i="1" s="1"/>
  <c r="AF345" i="1"/>
  <c r="CT345" i="1" s="1"/>
  <c r="S345" i="1" s="1"/>
  <c r="AG345" i="1"/>
  <c r="CU345" i="1" s="1"/>
  <c r="T345" i="1" s="1"/>
  <c r="AH345" i="1"/>
  <c r="CV345" i="1" s="1"/>
  <c r="U345" i="1" s="1"/>
  <c r="AI345" i="1"/>
  <c r="CW345" i="1" s="1"/>
  <c r="V345" i="1" s="1"/>
  <c r="AJ345" i="1"/>
  <c r="CX345" i="1" s="1"/>
  <c r="W345" i="1" s="1"/>
  <c r="CQ345" i="1"/>
  <c r="P345" i="1" s="1"/>
  <c r="FR345" i="1"/>
  <c r="GL345" i="1"/>
  <c r="GN345" i="1"/>
  <c r="GO345" i="1"/>
  <c r="GV345" i="1"/>
  <c r="HC345" i="1" s="1"/>
  <c r="GX345" i="1" s="1"/>
  <c r="D346" i="1"/>
  <c r="AC346" i="1"/>
  <c r="CQ346" i="1" s="1"/>
  <c r="P346" i="1" s="1"/>
  <c r="AD346" i="1"/>
  <c r="AE346" i="1"/>
  <c r="AF346" i="1"/>
  <c r="CT346" i="1" s="1"/>
  <c r="S346" i="1" s="1"/>
  <c r="AG346" i="1"/>
  <c r="CU346" i="1" s="1"/>
  <c r="T346" i="1" s="1"/>
  <c r="AH346" i="1"/>
  <c r="CV346" i="1" s="1"/>
  <c r="U346" i="1" s="1"/>
  <c r="AI346" i="1"/>
  <c r="AJ346" i="1"/>
  <c r="CW346" i="1"/>
  <c r="V346" i="1" s="1"/>
  <c r="CX346" i="1"/>
  <c r="W346" i="1" s="1"/>
  <c r="FR346" i="1"/>
  <c r="GL346" i="1"/>
  <c r="GN346" i="1"/>
  <c r="GO346" i="1"/>
  <c r="GV346" i="1"/>
  <c r="HC346" i="1" s="1"/>
  <c r="GX346" i="1" s="1"/>
  <c r="D347" i="1"/>
  <c r="I347" i="1"/>
  <c r="K347" i="1"/>
  <c r="U347" i="1"/>
  <c r="K523" i="6" s="1"/>
  <c r="V347" i="1"/>
  <c r="W347" i="1"/>
  <c r="AC347" i="1"/>
  <c r="CQ347" i="1" s="1"/>
  <c r="P347" i="1" s="1"/>
  <c r="AE347" i="1"/>
  <c r="U518" i="6" s="1"/>
  <c r="AF347" i="1"/>
  <c r="AG347" i="1"/>
  <c r="CU347" i="1" s="1"/>
  <c r="T347" i="1" s="1"/>
  <c r="AH347" i="1"/>
  <c r="CV347" i="1" s="1"/>
  <c r="AI347" i="1"/>
  <c r="CW347" i="1" s="1"/>
  <c r="AJ347" i="1"/>
  <c r="CX347" i="1" s="1"/>
  <c r="FR347" i="1"/>
  <c r="GL347" i="1"/>
  <c r="GN347" i="1"/>
  <c r="GO347" i="1"/>
  <c r="GV347" i="1"/>
  <c r="HC347" i="1" s="1"/>
  <c r="GX347" i="1" s="1"/>
  <c r="D348" i="1"/>
  <c r="AC348" i="1"/>
  <c r="CQ348" i="1" s="1"/>
  <c r="P348" i="1" s="1"/>
  <c r="AE348" i="1"/>
  <c r="AD348" i="1" s="1"/>
  <c r="AF348" i="1"/>
  <c r="CT348" i="1" s="1"/>
  <c r="S348" i="1" s="1"/>
  <c r="AG348" i="1"/>
  <c r="CU348" i="1" s="1"/>
  <c r="T348" i="1" s="1"/>
  <c r="AH348" i="1"/>
  <c r="CV348" i="1" s="1"/>
  <c r="U348" i="1" s="1"/>
  <c r="AI348" i="1"/>
  <c r="CW348" i="1" s="1"/>
  <c r="V348" i="1" s="1"/>
  <c r="AJ348" i="1"/>
  <c r="CX348" i="1" s="1"/>
  <c r="W348" i="1" s="1"/>
  <c r="CR348" i="1"/>
  <c r="Q348" i="1" s="1"/>
  <c r="FR348" i="1"/>
  <c r="GL348" i="1"/>
  <c r="GN348" i="1"/>
  <c r="GO348" i="1"/>
  <c r="GV348" i="1"/>
  <c r="HC348" i="1"/>
  <c r="GX348" i="1" s="1"/>
  <c r="D349" i="1"/>
  <c r="AC349" i="1"/>
  <c r="AE349" i="1"/>
  <c r="U525" i="6" s="1"/>
  <c r="AF349" i="1"/>
  <c r="AG349" i="1"/>
  <c r="AH349" i="1"/>
  <c r="AI349" i="1"/>
  <c r="CW349" i="1" s="1"/>
  <c r="V349" i="1" s="1"/>
  <c r="AJ349" i="1"/>
  <c r="CX349" i="1" s="1"/>
  <c r="W349" i="1" s="1"/>
  <c r="CQ349" i="1"/>
  <c r="P349" i="1" s="1"/>
  <c r="J529" i="6" s="1"/>
  <c r="CU349" i="1"/>
  <c r="T349" i="1" s="1"/>
  <c r="CV349" i="1"/>
  <c r="U349" i="1" s="1"/>
  <c r="K533" i="6" s="1"/>
  <c r="FR349" i="1"/>
  <c r="GL349" i="1"/>
  <c r="GN349" i="1"/>
  <c r="GO349" i="1"/>
  <c r="GV349" i="1"/>
  <c r="HC349" i="1"/>
  <c r="GX349" i="1" s="1"/>
  <c r="D351" i="1"/>
  <c r="I351" i="1"/>
  <c r="E537" i="6" s="1"/>
  <c r="K351" i="1"/>
  <c r="AC351" i="1"/>
  <c r="CQ351" i="1" s="1"/>
  <c r="P351" i="1" s="1"/>
  <c r="J539" i="6" s="1"/>
  <c r="AE351" i="1"/>
  <c r="AF351" i="1"/>
  <c r="AG351" i="1"/>
  <c r="CU351" i="1" s="1"/>
  <c r="AH351" i="1"/>
  <c r="CV351" i="1" s="1"/>
  <c r="AI351" i="1"/>
  <c r="CW351" i="1" s="1"/>
  <c r="AJ351" i="1"/>
  <c r="CX351" i="1" s="1"/>
  <c r="CT351" i="1"/>
  <c r="FR351" i="1"/>
  <c r="GL351" i="1"/>
  <c r="GN351" i="1"/>
  <c r="GO351" i="1"/>
  <c r="GV351" i="1"/>
  <c r="HC351" i="1" s="1"/>
  <c r="GX351" i="1" s="1"/>
  <c r="D352" i="1"/>
  <c r="I352" i="1"/>
  <c r="E544" i="6" s="1"/>
  <c r="K352" i="1"/>
  <c r="AC352" i="1"/>
  <c r="CQ352" i="1" s="1"/>
  <c r="P352" i="1" s="1"/>
  <c r="AD352" i="1"/>
  <c r="AB352" i="1" s="1"/>
  <c r="AE352" i="1"/>
  <c r="AF352" i="1"/>
  <c r="AG352" i="1"/>
  <c r="CU352" i="1" s="1"/>
  <c r="T352" i="1" s="1"/>
  <c r="AH352" i="1"/>
  <c r="CV352" i="1" s="1"/>
  <c r="U352" i="1" s="1"/>
  <c r="K548" i="6" s="1"/>
  <c r="AI352" i="1"/>
  <c r="AJ352" i="1"/>
  <c r="CW352" i="1"/>
  <c r="V352" i="1" s="1"/>
  <c r="CX352" i="1"/>
  <c r="W352" i="1" s="1"/>
  <c r="FR352" i="1"/>
  <c r="GL352" i="1"/>
  <c r="GN352" i="1"/>
  <c r="GO352" i="1"/>
  <c r="GV352" i="1"/>
  <c r="HC352" i="1"/>
  <c r="GX352" i="1" s="1"/>
  <c r="D353" i="1"/>
  <c r="I353" i="1"/>
  <c r="E550" i="6" s="1"/>
  <c r="K353" i="1"/>
  <c r="AC353" i="1"/>
  <c r="AE353" i="1"/>
  <c r="AD353" i="1" s="1"/>
  <c r="AF353" i="1"/>
  <c r="AG353" i="1"/>
  <c r="CU353" i="1" s="1"/>
  <c r="T353" i="1" s="1"/>
  <c r="AH353" i="1"/>
  <c r="CV353" i="1" s="1"/>
  <c r="AI353" i="1"/>
  <c r="AJ353" i="1"/>
  <c r="CW353" i="1"/>
  <c r="CX353" i="1"/>
  <c r="FR353" i="1"/>
  <c r="GL353" i="1"/>
  <c r="GN353" i="1"/>
  <c r="GO353" i="1"/>
  <c r="GV353" i="1"/>
  <c r="HC353" i="1" s="1"/>
  <c r="D354" i="1"/>
  <c r="I354" i="1"/>
  <c r="E557" i="6" s="1"/>
  <c r="K354" i="1"/>
  <c r="AC354" i="1"/>
  <c r="AE354" i="1"/>
  <c r="U557" i="6" s="1"/>
  <c r="AF354" i="1"/>
  <c r="AG354" i="1"/>
  <c r="CU354" i="1" s="1"/>
  <c r="AH354" i="1"/>
  <c r="CV354" i="1" s="1"/>
  <c r="AI354" i="1"/>
  <c r="CW354" i="1" s="1"/>
  <c r="AJ354" i="1"/>
  <c r="CX354" i="1" s="1"/>
  <c r="FR354" i="1"/>
  <c r="GL354" i="1"/>
  <c r="GN354" i="1"/>
  <c r="GO354" i="1"/>
  <c r="GV354" i="1"/>
  <c r="HC354" i="1"/>
  <c r="GX354" i="1" s="1"/>
  <c r="D355" i="1"/>
  <c r="I355" i="1"/>
  <c r="U355" i="1" s="1"/>
  <c r="K570" i="6" s="1"/>
  <c r="K355" i="1"/>
  <c r="V355" i="1"/>
  <c r="AC355" i="1"/>
  <c r="AE355" i="1"/>
  <c r="AF355" i="1"/>
  <c r="AG355" i="1"/>
  <c r="AH355" i="1"/>
  <c r="CV355" i="1" s="1"/>
  <c r="AI355" i="1"/>
  <c r="CW355" i="1" s="1"/>
  <c r="AJ355" i="1"/>
  <c r="CX355" i="1" s="1"/>
  <c r="CQ355" i="1"/>
  <c r="CS355" i="1"/>
  <c r="CT355" i="1"/>
  <c r="CU355" i="1"/>
  <c r="FR355" i="1"/>
  <c r="GL355" i="1"/>
  <c r="GN355" i="1"/>
  <c r="GO355" i="1"/>
  <c r="GV355" i="1"/>
  <c r="HC355" i="1"/>
  <c r="D356" i="1"/>
  <c r="I356" i="1"/>
  <c r="K356" i="1"/>
  <c r="P356" i="1"/>
  <c r="AC356" i="1"/>
  <c r="AD356" i="1"/>
  <c r="AE356" i="1"/>
  <c r="AF356" i="1"/>
  <c r="AG356" i="1"/>
  <c r="CU356" i="1" s="1"/>
  <c r="T356" i="1" s="1"/>
  <c r="AH356" i="1"/>
  <c r="CV356" i="1" s="1"/>
  <c r="U356" i="1" s="1"/>
  <c r="K577" i="6" s="1"/>
  <c r="AI356" i="1"/>
  <c r="CW356" i="1" s="1"/>
  <c r="V356" i="1" s="1"/>
  <c r="AJ356" i="1"/>
  <c r="CX356" i="1" s="1"/>
  <c r="W356" i="1" s="1"/>
  <c r="CQ356" i="1"/>
  <c r="FR356" i="1"/>
  <c r="GL356" i="1"/>
  <c r="GN356" i="1"/>
  <c r="GO356" i="1"/>
  <c r="GV356" i="1"/>
  <c r="HC356" i="1"/>
  <c r="GX356" i="1" s="1"/>
  <c r="D357" i="1"/>
  <c r="I357" i="1"/>
  <c r="E579" i="6" s="1"/>
  <c r="K357" i="1"/>
  <c r="AC357" i="1"/>
  <c r="CQ357" i="1" s="1"/>
  <c r="P357" i="1" s="1"/>
  <c r="AD357" i="1"/>
  <c r="AE357" i="1"/>
  <c r="U579" i="6" s="1"/>
  <c r="AF357" i="1"/>
  <c r="AG357" i="1"/>
  <c r="CU357" i="1" s="1"/>
  <c r="T357" i="1" s="1"/>
  <c r="AH357" i="1"/>
  <c r="CV357" i="1" s="1"/>
  <c r="U357" i="1" s="1"/>
  <c r="K583" i="6" s="1"/>
  <c r="AI357" i="1"/>
  <c r="AJ357" i="1"/>
  <c r="CX357" i="1" s="1"/>
  <c r="W357" i="1" s="1"/>
  <c r="CW357" i="1"/>
  <c r="V357" i="1" s="1"/>
  <c r="FR357" i="1"/>
  <c r="GL357" i="1"/>
  <c r="GN357" i="1"/>
  <c r="GO357" i="1"/>
  <c r="GV357" i="1"/>
  <c r="HC357" i="1" s="1"/>
  <c r="GX357" i="1" s="1"/>
  <c r="D358" i="1"/>
  <c r="T358" i="1"/>
  <c r="U358" i="1"/>
  <c r="AC358" i="1"/>
  <c r="CQ358" i="1" s="1"/>
  <c r="P358" i="1" s="1"/>
  <c r="AE358" i="1"/>
  <c r="AF358" i="1"/>
  <c r="CT358" i="1" s="1"/>
  <c r="S358" i="1" s="1"/>
  <c r="AG358" i="1"/>
  <c r="CU358" i="1" s="1"/>
  <c r="AH358" i="1"/>
  <c r="CV358" i="1" s="1"/>
  <c r="AI358" i="1"/>
  <c r="AJ358" i="1"/>
  <c r="CX358" i="1" s="1"/>
  <c r="W358" i="1" s="1"/>
  <c r="CW358" i="1"/>
  <c r="V358" i="1" s="1"/>
  <c r="FR358" i="1"/>
  <c r="GL358" i="1"/>
  <c r="GN358" i="1"/>
  <c r="GO358" i="1"/>
  <c r="GV358" i="1"/>
  <c r="HC358" i="1" s="1"/>
  <c r="GX358" i="1"/>
  <c r="B360" i="1"/>
  <c r="B343" i="1" s="1"/>
  <c r="C360" i="1"/>
  <c r="C343" i="1" s="1"/>
  <c r="D360" i="1"/>
  <c r="D343" i="1" s="1"/>
  <c r="F360" i="1"/>
  <c r="F343" i="1" s="1"/>
  <c r="G360" i="1"/>
  <c r="AO360" i="1"/>
  <c r="BB360" i="1"/>
  <c r="F373" i="1" s="1"/>
  <c r="BC360" i="1"/>
  <c r="F376" i="1" s="1"/>
  <c r="BD360" i="1"/>
  <c r="F385" i="1" s="1"/>
  <c r="BX360" i="1"/>
  <c r="CK360" i="1"/>
  <c r="CK343" i="1" s="1"/>
  <c r="CL360" i="1"/>
  <c r="CL343" i="1" s="1"/>
  <c r="CM360" i="1"/>
  <c r="CM343" i="1" s="1"/>
  <c r="D390" i="1"/>
  <c r="B392" i="1"/>
  <c r="E392" i="1"/>
  <c r="Z392" i="1"/>
  <c r="AA392" i="1"/>
  <c r="AM392" i="1"/>
  <c r="AN392" i="1"/>
  <c r="BE392" i="1"/>
  <c r="BF392" i="1"/>
  <c r="BG392" i="1"/>
  <c r="BH392" i="1"/>
  <c r="BI392" i="1"/>
  <c r="BJ392" i="1"/>
  <c r="BK392" i="1"/>
  <c r="BL392" i="1"/>
  <c r="BM392" i="1"/>
  <c r="BN392" i="1"/>
  <c r="BO392" i="1"/>
  <c r="BP392" i="1"/>
  <c r="BQ392" i="1"/>
  <c r="BR392" i="1"/>
  <c r="BS392" i="1"/>
  <c r="BT392" i="1"/>
  <c r="BU392" i="1"/>
  <c r="BV392" i="1"/>
  <c r="BW392" i="1"/>
  <c r="CN392" i="1"/>
  <c r="CO392" i="1"/>
  <c r="CP392" i="1"/>
  <c r="CQ392" i="1"/>
  <c r="CR392" i="1"/>
  <c r="CS392" i="1"/>
  <c r="CT392" i="1"/>
  <c r="CU392" i="1"/>
  <c r="CV392" i="1"/>
  <c r="CW392" i="1"/>
  <c r="CX392" i="1"/>
  <c r="CY392" i="1"/>
  <c r="CZ392" i="1"/>
  <c r="DA392" i="1"/>
  <c r="DB392" i="1"/>
  <c r="DC392" i="1"/>
  <c r="DD392" i="1"/>
  <c r="DE392" i="1"/>
  <c r="DF392" i="1"/>
  <c r="DG392" i="1"/>
  <c r="DH392" i="1"/>
  <c r="DI392" i="1"/>
  <c r="DJ392" i="1"/>
  <c r="DK392" i="1"/>
  <c r="DL392" i="1"/>
  <c r="DM392" i="1"/>
  <c r="DN392" i="1"/>
  <c r="DO392" i="1"/>
  <c r="DP392" i="1"/>
  <c r="DQ392" i="1"/>
  <c r="DR392" i="1"/>
  <c r="DS392" i="1"/>
  <c r="DT392" i="1"/>
  <c r="DU392" i="1"/>
  <c r="DV392" i="1"/>
  <c r="DW392" i="1"/>
  <c r="DX392" i="1"/>
  <c r="DY392" i="1"/>
  <c r="DZ392" i="1"/>
  <c r="EA392" i="1"/>
  <c r="EB392" i="1"/>
  <c r="EC392" i="1"/>
  <c r="ED392" i="1"/>
  <c r="EE392" i="1"/>
  <c r="EF392" i="1"/>
  <c r="EG392" i="1"/>
  <c r="EH392" i="1"/>
  <c r="EI392" i="1"/>
  <c r="EJ392" i="1"/>
  <c r="EK392" i="1"/>
  <c r="EL392" i="1"/>
  <c r="EM392" i="1"/>
  <c r="EN392" i="1"/>
  <c r="EO392" i="1"/>
  <c r="EP392" i="1"/>
  <c r="EQ392" i="1"/>
  <c r="ER392" i="1"/>
  <c r="ES392" i="1"/>
  <c r="ET392" i="1"/>
  <c r="EU392" i="1"/>
  <c r="EV392" i="1"/>
  <c r="EW392" i="1"/>
  <c r="EX392" i="1"/>
  <c r="EY392" i="1"/>
  <c r="EZ392" i="1"/>
  <c r="FA392" i="1"/>
  <c r="FB392" i="1"/>
  <c r="FC392" i="1"/>
  <c r="FD392" i="1"/>
  <c r="FE392" i="1"/>
  <c r="FF392" i="1"/>
  <c r="FG392" i="1"/>
  <c r="FH392" i="1"/>
  <c r="FI392" i="1"/>
  <c r="FJ392" i="1"/>
  <c r="FK392" i="1"/>
  <c r="FL392" i="1"/>
  <c r="FM392" i="1"/>
  <c r="FN392" i="1"/>
  <c r="FO392" i="1"/>
  <c r="FP392" i="1"/>
  <c r="FQ392" i="1"/>
  <c r="FR392" i="1"/>
  <c r="FS392" i="1"/>
  <c r="FT392" i="1"/>
  <c r="FU392" i="1"/>
  <c r="FV392" i="1"/>
  <c r="FW392" i="1"/>
  <c r="FX392" i="1"/>
  <c r="FY392" i="1"/>
  <c r="FZ392" i="1"/>
  <c r="GA392" i="1"/>
  <c r="GB392" i="1"/>
  <c r="GC392" i="1"/>
  <c r="GD392" i="1"/>
  <c r="GE392" i="1"/>
  <c r="GF392" i="1"/>
  <c r="GG392" i="1"/>
  <c r="GH392" i="1"/>
  <c r="GI392" i="1"/>
  <c r="GJ392" i="1"/>
  <c r="GK392" i="1"/>
  <c r="GL392" i="1"/>
  <c r="GM392" i="1"/>
  <c r="GN392" i="1"/>
  <c r="GO392" i="1"/>
  <c r="GP392" i="1"/>
  <c r="GQ392" i="1"/>
  <c r="GR392" i="1"/>
  <c r="GS392" i="1"/>
  <c r="GT392" i="1"/>
  <c r="GU392" i="1"/>
  <c r="GV392" i="1"/>
  <c r="GW392" i="1"/>
  <c r="GX392" i="1"/>
  <c r="D394" i="1"/>
  <c r="V394" i="1"/>
  <c r="AC394" i="1"/>
  <c r="CQ394" i="1" s="1"/>
  <c r="P394" i="1" s="1"/>
  <c r="J592" i="6" s="1"/>
  <c r="AE394" i="1"/>
  <c r="AF394" i="1"/>
  <c r="AG394" i="1"/>
  <c r="AH394" i="1"/>
  <c r="AI394" i="1"/>
  <c r="AJ394" i="1"/>
  <c r="CS394" i="1"/>
  <c r="CT394" i="1"/>
  <c r="S394" i="1" s="1"/>
  <c r="J591" i="6" s="1"/>
  <c r="CU394" i="1"/>
  <c r="T394" i="1" s="1"/>
  <c r="CV394" i="1"/>
  <c r="U394" i="1" s="1"/>
  <c r="K595" i="6" s="1"/>
  <c r="CW394" i="1"/>
  <c r="CX394" i="1"/>
  <c r="W394" i="1" s="1"/>
  <c r="FR394" i="1"/>
  <c r="GL394" i="1"/>
  <c r="GN394" i="1"/>
  <c r="GO394" i="1"/>
  <c r="GV394" i="1"/>
  <c r="HC394" i="1" s="1"/>
  <c r="GX394" i="1" s="1"/>
  <c r="D395" i="1"/>
  <c r="P395" i="1"/>
  <c r="T395" i="1"/>
  <c r="AC395" i="1"/>
  <c r="AE395" i="1"/>
  <c r="AF395" i="1"/>
  <c r="AG395" i="1"/>
  <c r="CU395" i="1" s="1"/>
  <c r="AH395" i="1"/>
  <c r="AI395" i="1"/>
  <c r="AJ395" i="1"/>
  <c r="CX395" i="1" s="1"/>
  <c r="W395" i="1" s="1"/>
  <c r="CQ395" i="1"/>
  <c r="CR395" i="1"/>
  <c r="Q395" i="1" s="1"/>
  <c r="CV395" i="1"/>
  <c r="U395" i="1" s="1"/>
  <c r="K602" i="6" s="1"/>
  <c r="CW395" i="1"/>
  <c r="V395" i="1" s="1"/>
  <c r="FR395" i="1"/>
  <c r="GL395" i="1"/>
  <c r="GN395" i="1"/>
  <c r="GO395" i="1"/>
  <c r="GV395" i="1"/>
  <c r="HC395" i="1" s="1"/>
  <c r="GX395" i="1" s="1"/>
  <c r="D396" i="1"/>
  <c r="AC396" i="1"/>
  <c r="AE396" i="1"/>
  <c r="AF396" i="1"/>
  <c r="AG396" i="1"/>
  <c r="CU396" i="1" s="1"/>
  <c r="T396" i="1" s="1"/>
  <c r="AH396" i="1"/>
  <c r="CV396" i="1" s="1"/>
  <c r="U396" i="1" s="1"/>
  <c r="K609" i="6" s="1"/>
  <c r="AI396" i="1"/>
  <c r="CW396" i="1" s="1"/>
  <c r="V396" i="1" s="1"/>
  <c r="AJ396" i="1"/>
  <c r="CX396" i="1" s="1"/>
  <c r="W396" i="1" s="1"/>
  <c r="FR396" i="1"/>
  <c r="GL396" i="1"/>
  <c r="GN396" i="1"/>
  <c r="GO396" i="1"/>
  <c r="GV396" i="1"/>
  <c r="HC396" i="1" s="1"/>
  <c r="GX396" i="1" s="1"/>
  <c r="D397" i="1"/>
  <c r="AC397" i="1"/>
  <c r="CQ397" i="1" s="1"/>
  <c r="P397" i="1" s="1"/>
  <c r="J613" i="6" s="1"/>
  <c r="AE397" i="1"/>
  <c r="U611" i="6" s="1"/>
  <c r="AF397" i="1"/>
  <c r="AG397" i="1"/>
  <c r="AH397" i="1"/>
  <c r="AI397" i="1"/>
  <c r="CW397" i="1" s="1"/>
  <c r="V397" i="1" s="1"/>
  <c r="AJ397" i="1"/>
  <c r="CU397" i="1"/>
  <c r="T397" i="1" s="1"/>
  <c r="CV397" i="1"/>
  <c r="U397" i="1" s="1"/>
  <c r="K616" i="6" s="1"/>
  <c r="CX397" i="1"/>
  <c r="W397" i="1" s="1"/>
  <c r="FR397" i="1"/>
  <c r="GL397" i="1"/>
  <c r="GN397" i="1"/>
  <c r="GO397" i="1"/>
  <c r="GV397" i="1"/>
  <c r="HC397" i="1" s="1"/>
  <c r="GX397" i="1" s="1"/>
  <c r="D398" i="1"/>
  <c r="T398" i="1"/>
  <c r="U398" i="1"/>
  <c r="K623" i="6" s="1"/>
  <c r="AC398" i="1"/>
  <c r="CQ398" i="1" s="1"/>
  <c r="P398" i="1" s="1"/>
  <c r="AE398" i="1"/>
  <c r="CR398" i="1" s="1"/>
  <c r="Q398" i="1" s="1"/>
  <c r="AF398" i="1"/>
  <c r="AG398" i="1"/>
  <c r="CU398" i="1" s="1"/>
  <c r="AH398" i="1"/>
  <c r="CV398" i="1" s="1"/>
  <c r="AI398" i="1"/>
  <c r="CW398" i="1" s="1"/>
  <c r="V398" i="1" s="1"/>
  <c r="AJ398" i="1"/>
  <c r="CX398" i="1" s="1"/>
  <c r="W398" i="1" s="1"/>
  <c r="CT398" i="1"/>
  <c r="S398" i="1" s="1"/>
  <c r="J619" i="6" s="1"/>
  <c r="FR398" i="1"/>
  <c r="GL398" i="1"/>
  <c r="GN398" i="1"/>
  <c r="GO398" i="1"/>
  <c r="GV398" i="1"/>
  <c r="HC398" i="1"/>
  <c r="GX398" i="1" s="1"/>
  <c r="D399" i="1"/>
  <c r="I399" i="1"/>
  <c r="K399" i="1"/>
  <c r="AC399" i="1"/>
  <c r="CQ399" i="1" s="1"/>
  <c r="P399" i="1" s="1"/>
  <c r="AE399" i="1"/>
  <c r="AF399" i="1"/>
  <c r="CT399" i="1" s="1"/>
  <c r="S399" i="1" s="1"/>
  <c r="J627" i="6" s="1"/>
  <c r="AG399" i="1"/>
  <c r="CU399" i="1" s="1"/>
  <c r="T399" i="1" s="1"/>
  <c r="AH399" i="1"/>
  <c r="CV399" i="1" s="1"/>
  <c r="AI399" i="1"/>
  <c r="CW399" i="1" s="1"/>
  <c r="AJ399" i="1"/>
  <c r="CX399" i="1"/>
  <c r="W399" i="1" s="1"/>
  <c r="FR399" i="1"/>
  <c r="GL399" i="1"/>
  <c r="GN399" i="1"/>
  <c r="GO399" i="1"/>
  <c r="GV399" i="1"/>
  <c r="HC399" i="1" s="1"/>
  <c r="GX399" i="1" s="1"/>
  <c r="D400" i="1"/>
  <c r="I400" i="1"/>
  <c r="K400" i="1"/>
  <c r="AC400" i="1"/>
  <c r="CQ400" i="1" s="1"/>
  <c r="AE400" i="1"/>
  <c r="AF400" i="1"/>
  <c r="AG400" i="1"/>
  <c r="AH400" i="1"/>
  <c r="CV400" i="1" s="1"/>
  <c r="U400" i="1" s="1"/>
  <c r="K638" i="6" s="1"/>
  <c r="AI400" i="1"/>
  <c r="CW400" i="1" s="1"/>
  <c r="V400" i="1" s="1"/>
  <c r="AJ400" i="1"/>
  <c r="CR400" i="1"/>
  <c r="Q400" i="1" s="1"/>
  <c r="CS400" i="1"/>
  <c r="CU400" i="1"/>
  <c r="T400" i="1" s="1"/>
  <c r="CX400" i="1"/>
  <c r="W400" i="1" s="1"/>
  <c r="FR400" i="1"/>
  <c r="GL400" i="1"/>
  <c r="GN400" i="1"/>
  <c r="GO400" i="1"/>
  <c r="GV400" i="1"/>
  <c r="HC400" i="1" s="1"/>
  <c r="GX400" i="1" s="1"/>
  <c r="D401" i="1"/>
  <c r="P401" i="1"/>
  <c r="J642" i="6" s="1"/>
  <c r="AC401" i="1"/>
  <c r="AD401" i="1"/>
  <c r="AB401" i="1" s="1"/>
  <c r="AE401" i="1"/>
  <c r="U640" i="6" s="1"/>
  <c r="AF401" i="1"/>
  <c r="AG401" i="1"/>
  <c r="CU401" i="1" s="1"/>
  <c r="T401" i="1" s="1"/>
  <c r="AH401" i="1"/>
  <c r="CV401" i="1" s="1"/>
  <c r="U401" i="1" s="1"/>
  <c r="K645" i="6" s="1"/>
  <c r="AI401" i="1"/>
  <c r="CW401" i="1" s="1"/>
  <c r="V401" i="1" s="1"/>
  <c r="AJ401" i="1"/>
  <c r="CX401" i="1" s="1"/>
  <c r="W401" i="1" s="1"/>
  <c r="CQ401" i="1"/>
  <c r="FR401" i="1"/>
  <c r="GL401" i="1"/>
  <c r="GN401" i="1"/>
  <c r="GO401" i="1"/>
  <c r="GV401" i="1"/>
  <c r="HC401" i="1" s="1"/>
  <c r="GX401" i="1" s="1"/>
  <c r="D402" i="1"/>
  <c r="AC402" i="1"/>
  <c r="CQ402" i="1" s="1"/>
  <c r="P402" i="1" s="1"/>
  <c r="J649" i="6" s="1"/>
  <c r="AE402" i="1"/>
  <c r="AF402" i="1"/>
  <c r="AG402" i="1"/>
  <c r="CU402" i="1" s="1"/>
  <c r="T402" i="1" s="1"/>
  <c r="AH402" i="1"/>
  <c r="CV402" i="1" s="1"/>
  <c r="U402" i="1" s="1"/>
  <c r="K652" i="6" s="1"/>
  <c r="AI402" i="1"/>
  <c r="CW402" i="1" s="1"/>
  <c r="V402" i="1" s="1"/>
  <c r="AJ402" i="1"/>
  <c r="CX402" i="1" s="1"/>
  <c r="W402" i="1" s="1"/>
  <c r="CR402" i="1"/>
  <c r="Q402" i="1" s="1"/>
  <c r="CT402" i="1"/>
  <c r="S402" i="1" s="1"/>
  <c r="J648" i="6" s="1"/>
  <c r="FR402" i="1"/>
  <c r="GL402" i="1"/>
  <c r="GN402" i="1"/>
  <c r="GO402" i="1"/>
  <c r="GV402" i="1"/>
  <c r="HC402" i="1"/>
  <c r="GX402" i="1" s="1"/>
  <c r="D403" i="1"/>
  <c r="AC403" i="1"/>
  <c r="AE403" i="1"/>
  <c r="AF403" i="1"/>
  <c r="AG403" i="1"/>
  <c r="CU403" i="1" s="1"/>
  <c r="T403" i="1" s="1"/>
  <c r="AH403" i="1"/>
  <c r="CV403" i="1" s="1"/>
  <c r="U403" i="1" s="1"/>
  <c r="K659" i="6" s="1"/>
  <c r="AI403" i="1"/>
  <c r="CW403" i="1" s="1"/>
  <c r="V403" i="1" s="1"/>
  <c r="AJ403" i="1"/>
  <c r="CX403" i="1" s="1"/>
  <c r="W403" i="1" s="1"/>
  <c r="CR403" i="1"/>
  <c r="Q403" i="1" s="1"/>
  <c r="FR403" i="1"/>
  <c r="GL403" i="1"/>
  <c r="GN403" i="1"/>
  <c r="GO403" i="1"/>
  <c r="GV403" i="1"/>
  <c r="HC403" i="1" s="1"/>
  <c r="GX403" i="1" s="1"/>
  <c r="D404" i="1"/>
  <c r="AC404" i="1"/>
  <c r="CQ404" i="1" s="1"/>
  <c r="P404" i="1" s="1"/>
  <c r="AD404" i="1"/>
  <c r="AE404" i="1"/>
  <c r="CS404" i="1" s="1"/>
  <c r="R404" i="1" s="1"/>
  <c r="AF404" i="1"/>
  <c r="CT404" i="1" s="1"/>
  <c r="S404" i="1" s="1"/>
  <c r="AG404" i="1"/>
  <c r="CU404" i="1" s="1"/>
  <c r="T404" i="1" s="1"/>
  <c r="AH404" i="1"/>
  <c r="CV404" i="1" s="1"/>
  <c r="U404" i="1" s="1"/>
  <c r="AI404" i="1"/>
  <c r="CW404" i="1" s="1"/>
  <c r="V404" i="1" s="1"/>
  <c r="AJ404" i="1"/>
  <c r="CX404" i="1" s="1"/>
  <c r="W404" i="1" s="1"/>
  <c r="CR404" i="1"/>
  <c r="Q404" i="1" s="1"/>
  <c r="FR404" i="1"/>
  <c r="GK404" i="1"/>
  <c r="GL404" i="1"/>
  <c r="GN404" i="1"/>
  <c r="GO404" i="1"/>
  <c r="GV404" i="1"/>
  <c r="HC404" i="1" s="1"/>
  <c r="GX404" i="1" s="1"/>
  <c r="D405" i="1"/>
  <c r="T405" i="1"/>
  <c r="V405" i="1"/>
  <c r="AC405" i="1"/>
  <c r="CQ405" i="1" s="1"/>
  <c r="P405" i="1" s="1"/>
  <c r="AE405" i="1"/>
  <c r="U661" i="6" s="1"/>
  <c r="AF405" i="1"/>
  <c r="AG405" i="1"/>
  <c r="CU405" i="1" s="1"/>
  <c r="AH405" i="1"/>
  <c r="CV405" i="1" s="1"/>
  <c r="U405" i="1" s="1"/>
  <c r="K665" i="6" s="1"/>
  <c r="AI405" i="1"/>
  <c r="CW405" i="1" s="1"/>
  <c r="AJ405" i="1"/>
  <c r="CX405" i="1" s="1"/>
  <c r="W405" i="1" s="1"/>
  <c r="FR405" i="1"/>
  <c r="GL405" i="1"/>
  <c r="GN405" i="1"/>
  <c r="GO405" i="1"/>
  <c r="GV405" i="1"/>
  <c r="HC405" i="1" s="1"/>
  <c r="GX405" i="1" s="1"/>
  <c r="D406" i="1"/>
  <c r="AC406" i="1"/>
  <c r="CQ406" i="1" s="1"/>
  <c r="P406" i="1" s="1"/>
  <c r="AE406" i="1"/>
  <c r="AF406" i="1"/>
  <c r="AG406" i="1"/>
  <c r="CU406" i="1" s="1"/>
  <c r="T406" i="1" s="1"/>
  <c r="AH406" i="1"/>
  <c r="CV406" i="1" s="1"/>
  <c r="U406" i="1" s="1"/>
  <c r="K675" i="6" s="1"/>
  <c r="AI406" i="1"/>
  <c r="CW406" i="1" s="1"/>
  <c r="V406" i="1" s="1"/>
  <c r="AJ406" i="1"/>
  <c r="CX406" i="1" s="1"/>
  <c r="W406" i="1" s="1"/>
  <c r="FR406" i="1"/>
  <c r="GL406" i="1"/>
  <c r="GN406" i="1"/>
  <c r="GO406" i="1"/>
  <c r="GV406" i="1"/>
  <c r="HC406" i="1" s="1"/>
  <c r="GX406" i="1" s="1"/>
  <c r="D407" i="1"/>
  <c r="AC407" i="1"/>
  <c r="AE407" i="1"/>
  <c r="U677" i="6" s="1"/>
  <c r="AF407" i="1"/>
  <c r="AG407" i="1"/>
  <c r="CU407" i="1" s="1"/>
  <c r="T407" i="1" s="1"/>
  <c r="AH407" i="1"/>
  <c r="CV407" i="1" s="1"/>
  <c r="U407" i="1" s="1"/>
  <c r="K685" i="6" s="1"/>
  <c r="AI407" i="1"/>
  <c r="CW407" i="1" s="1"/>
  <c r="V407" i="1" s="1"/>
  <c r="AJ407" i="1"/>
  <c r="CX407" i="1" s="1"/>
  <c r="W407" i="1" s="1"/>
  <c r="CQ407" i="1"/>
  <c r="P407" i="1" s="1"/>
  <c r="FR407" i="1"/>
  <c r="GL407" i="1"/>
  <c r="GN407" i="1"/>
  <c r="GO407" i="1"/>
  <c r="GV407" i="1"/>
  <c r="HC407" i="1"/>
  <c r="GX407" i="1" s="1"/>
  <c r="D408" i="1"/>
  <c r="AC408" i="1"/>
  <c r="CQ408" i="1" s="1"/>
  <c r="P408" i="1" s="1"/>
  <c r="AE408" i="1"/>
  <c r="AF408" i="1"/>
  <c r="AG408" i="1"/>
  <c r="AH408" i="1"/>
  <c r="AI408" i="1"/>
  <c r="AJ408" i="1"/>
  <c r="CU408" i="1"/>
  <c r="T408" i="1" s="1"/>
  <c r="CV408" i="1"/>
  <c r="U408" i="1" s="1"/>
  <c r="K691" i="6" s="1"/>
  <c r="CW408" i="1"/>
  <c r="V408" i="1" s="1"/>
  <c r="CX408" i="1"/>
  <c r="W408" i="1" s="1"/>
  <c r="FR408" i="1"/>
  <c r="GL408" i="1"/>
  <c r="GN408" i="1"/>
  <c r="GO408" i="1"/>
  <c r="GV408" i="1"/>
  <c r="GX408" i="1"/>
  <c r="HC408" i="1"/>
  <c r="D409" i="1"/>
  <c r="AC409" i="1"/>
  <c r="AE409" i="1"/>
  <c r="AF409" i="1"/>
  <c r="AG409" i="1"/>
  <c r="CU409" i="1" s="1"/>
  <c r="T409" i="1" s="1"/>
  <c r="AH409" i="1"/>
  <c r="CV409" i="1" s="1"/>
  <c r="U409" i="1" s="1"/>
  <c r="K698" i="6" s="1"/>
  <c r="AI409" i="1"/>
  <c r="CW409" i="1" s="1"/>
  <c r="V409" i="1" s="1"/>
  <c r="AJ409" i="1"/>
  <c r="CX409" i="1" s="1"/>
  <c r="W409" i="1" s="1"/>
  <c r="FR409" i="1"/>
  <c r="GL409" i="1"/>
  <c r="GN409" i="1"/>
  <c r="GO409" i="1"/>
  <c r="GV409" i="1"/>
  <c r="HC409" i="1"/>
  <c r="GX409" i="1" s="1"/>
  <c r="D410" i="1"/>
  <c r="I410" i="1"/>
  <c r="K410" i="1"/>
  <c r="V410" i="1"/>
  <c r="AC410" i="1"/>
  <c r="AD410" i="1"/>
  <c r="AE410" i="1"/>
  <c r="AF410" i="1"/>
  <c r="AG410" i="1"/>
  <c r="AH410" i="1"/>
  <c r="CV410" i="1" s="1"/>
  <c r="U410" i="1" s="1"/>
  <c r="K706" i="6" s="1"/>
  <c r="AI410" i="1"/>
  <c r="CW410" i="1" s="1"/>
  <c r="AJ410" i="1"/>
  <c r="CX410" i="1" s="1"/>
  <c r="W410" i="1" s="1"/>
  <c r="CR410" i="1"/>
  <c r="CS410" i="1"/>
  <c r="CT410" i="1"/>
  <c r="S410" i="1" s="1"/>
  <c r="J702" i="6" s="1"/>
  <c r="CU410" i="1"/>
  <c r="T410" i="1" s="1"/>
  <c r="FR410" i="1"/>
  <c r="GL410" i="1"/>
  <c r="GN410" i="1"/>
  <c r="GO410" i="1"/>
  <c r="GV410" i="1"/>
  <c r="HC410" i="1"/>
  <c r="D411" i="1"/>
  <c r="T411" i="1"/>
  <c r="AC411" i="1"/>
  <c r="CQ411" i="1" s="1"/>
  <c r="P411" i="1" s="1"/>
  <c r="J710" i="6" s="1"/>
  <c r="AE411" i="1"/>
  <c r="U708" i="6" s="1"/>
  <c r="AF411" i="1"/>
  <c r="AG411" i="1"/>
  <c r="CU411" i="1" s="1"/>
  <c r="AH411" i="1"/>
  <c r="AI411" i="1"/>
  <c r="AJ411" i="1"/>
  <c r="CV411" i="1"/>
  <c r="U411" i="1" s="1"/>
  <c r="K713" i="6" s="1"/>
  <c r="CW411" i="1"/>
  <c r="V411" i="1" s="1"/>
  <c r="CX411" i="1"/>
  <c r="W411" i="1" s="1"/>
  <c r="FR411" i="1"/>
  <c r="GL411" i="1"/>
  <c r="GN411" i="1"/>
  <c r="GO411" i="1"/>
  <c r="GV411" i="1"/>
  <c r="HC411" i="1"/>
  <c r="GX411" i="1" s="1"/>
  <c r="B413" i="1"/>
  <c r="C413" i="1"/>
  <c r="C392" i="1" s="1"/>
  <c r="D413" i="1"/>
  <c r="D392" i="1" s="1"/>
  <c r="F413" i="1"/>
  <c r="F392" i="1" s="1"/>
  <c r="G413" i="1"/>
  <c r="BX413" i="1"/>
  <c r="AO413" i="1" s="1"/>
  <c r="CK413" i="1"/>
  <c r="BB413" i="1" s="1"/>
  <c r="BB443" i="1" s="1"/>
  <c r="BB339" i="1" s="1"/>
  <c r="CL413" i="1"/>
  <c r="BC413" i="1" s="1"/>
  <c r="CM413" i="1"/>
  <c r="B443" i="1"/>
  <c r="B339" i="1" s="1"/>
  <c r="C443" i="1"/>
  <c r="C339" i="1" s="1"/>
  <c r="D443" i="1"/>
  <c r="D339" i="1" s="1"/>
  <c r="F443" i="1"/>
  <c r="F339" i="1" s="1"/>
  <c r="G443" i="1"/>
  <c r="F456" i="1"/>
  <c r="B473" i="1"/>
  <c r="B335" i="1" s="1"/>
  <c r="C473" i="1"/>
  <c r="C335" i="1" s="1"/>
  <c r="D473" i="1"/>
  <c r="D335" i="1" s="1"/>
  <c r="F473" i="1"/>
  <c r="F335" i="1" s="1"/>
  <c r="G473" i="1"/>
  <c r="D503" i="1"/>
  <c r="E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BE505" i="1"/>
  <c r="BF505" i="1"/>
  <c r="BG505" i="1"/>
  <c r="BH505" i="1"/>
  <c r="BI505" i="1"/>
  <c r="BJ505" i="1"/>
  <c r="BK505" i="1"/>
  <c r="BL505" i="1"/>
  <c r="BM505" i="1"/>
  <c r="BN505" i="1"/>
  <c r="BO505" i="1"/>
  <c r="BP505" i="1"/>
  <c r="BQ505" i="1"/>
  <c r="BR505" i="1"/>
  <c r="BS505" i="1"/>
  <c r="BT505" i="1"/>
  <c r="BU505" i="1"/>
  <c r="BV505" i="1"/>
  <c r="BW505" i="1"/>
  <c r="BX505" i="1"/>
  <c r="BY505" i="1"/>
  <c r="BZ505" i="1"/>
  <c r="CA505" i="1"/>
  <c r="CB505" i="1"/>
  <c r="CC505" i="1"/>
  <c r="CD505" i="1"/>
  <c r="CE505" i="1"/>
  <c r="CF505" i="1"/>
  <c r="CG505" i="1"/>
  <c r="CH505" i="1"/>
  <c r="CI505" i="1"/>
  <c r="CJ505" i="1"/>
  <c r="CK505" i="1"/>
  <c r="CL505" i="1"/>
  <c r="CM505" i="1"/>
  <c r="CN505" i="1"/>
  <c r="CO505" i="1"/>
  <c r="CP505" i="1"/>
  <c r="CQ505" i="1"/>
  <c r="CR505" i="1"/>
  <c r="CS505" i="1"/>
  <c r="CT505" i="1"/>
  <c r="CU505" i="1"/>
  <c r="CV505" i="1"/>
  <c r="CW505" i="1"/>
  <c r="CX505" i="1"/>
  <c r="CY505" i="1"/>
  <c r="CZ505" i="1"/>
  <c r="DA505" i="1"/>
  <c r="DB505" i="1"/>
  <c r="DC505" i="1"/>
  <c r="DD505" i="1"/>
  <c r="DE505" i="1"/>
  <c r="DF505" i="1"/>
  <c r="DG505" i="1"/>
  <c r="DH505" i="1"/>
  <c r="DI505" i="1"/>
  <c r="DJ505" i="1"/>
  <c r="DK505" i="1"/>
  <c r="DL505" i="1"/>
  <c r="DM505" i="1"/>
  <c r="DN505" i="1"/>
  <c r="DO505" i="1"/>
  <c r="DP505" i="1"/>
  <c r="DQ505" i="1"/>
  <c r="DR505" i="1"/>
  <c r="DS505" i="1"/>
  <c r="DT505" i="1"/>
  <c r="DU505" i="1"/>
  <c r="DV505" i="1"/>
  <c r="DW505" i="1"/>
  <c r="DX505" i="1"/>
  <c r="DY505" i="1"/>
  <c r="DZ505" i="1"/>
  <c r="EA505" i="1"/>
  <c r="EB505" i="1"/>
  <c r="EC505" i="1"/>
  <c r="ED505" i="1"/>
  <c r="EE505" i="1"/>
  <c r="EF505" i="1"/>
  <c r="EG505" i="1"/>
  <c r="EH505" i="1"/>
  <c r="EI505" i="1"/>
  <c r="EJ505" i="1"/>
  <c r="EK505" i="1"/>
  <c r="EL505" i="1"/>
  <c r="EM505" i="1"/>
  <c r="EN505" i="1"/>
  <c r="EO505" i="1"/>
  <c r="EP505" i="1"/>
  <c r="EQ505" i="1"/>
  <c r="ER505" i="1"/>
  <c r="ES505" i="1"/>
  <c r="ET505" i="1"/>
  <c r="EU505" i="1"/>
  <c r="EV505" i="1"/>
  <c r="EW505" i="1"/>
  <c r="EX505" i="1"/>
  <c r="EY505" i="1"/>
  <c r="EZ505" i="1"/>
  <c r="FA505" i="1"/>
  <c r="FB505" i="1"/>
  <c r="FC505" i="1"/>
  <c r="FD505" i="1"/>
  <c r="FE505" i="1"/>
  <c r="FF505" i="1"/>
  <c r="FG505" i="1"/>
  <c r="FH505" i="1"/>
  <c r="FI505" i="1"/>
  <c r="FJ505" i="1"/>
  <c r="FK505" i="1"/>
  <c r="FL505" i="1"/>
  <c r="FM505" i="1"/>
  <c r="FN505" i="1"/>
  <c r="FO505" i="1"/>
  <c r="FP505" i="1"/>
  <c r="FQ505" i="1"/>
  <c r="FR505" i="1"/>
  <c r="FS505" i="1"/>
  <c r="FT505" i="1"/>
  <c r="FU505" i="1"/>
  <c r="FV505" i="1"/>
  <c r="FW505" i="1"/>
  <c r="FX505" i="1"/>
  <c r="FY505" i="1"/>
  <c r="FZ505" i="1"/>
  <c r="GA505" i="1"/>
  <c r="GB505" i="1"/>
  <c r="GC505" i="1"/>
  <c r="GD505" i="1"/>
  <c r="GE505" i="1"/>
  <c r="GF505" i="1"/>
  <c r="GG505" i="1"/>
  <c r="GH505" i="1"/>
  <c r="GI505" i="1"/>
  <c r="GJ505" i="1"/>
  <c r="GK505" i="1"/>
  <c r="GL505" i="1"/>
  <c r="GM505" i="1"/>
  <c r="GN505" i="1"/>
  <c r="GO505" i="1"/>
  <c r="GP505" i="1"/>
  <c r="GQ505" i="1"/>
  <c r="GR505" i="1"/>
  <c r="GS505" i="1"/>
  <c r="GT505" i="1"/>
  <c r="GU505" i="1"/>
  <c r="GV505" i="1"/>
  <c r="GW505" i="1"/>
  <c r="GX505" i="1"/>
  <c r="D507" i="1"/>
  <c r="E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BE509" i="1"/>
  <c r="BF509" i="1"/>
  <c r="BG509" i="1"/>
  <c r="BH509" i="1"/>
  <c r="BI509" i="1"/>
  <c r="BJ509" i="1"/>
  <c r="BK509" i="1"/>
  <c r="BL509" i="1"/>
  <c r="BM509" i="1"/>
  <c r="BN509" i="1"/>
  <c r="BO509" i="1"/>
  <c r="BP509" i="1"/>
  <c r="BQ509" i="1"/>
  <c r="BR509" i="1"/>
  <c r="BS509" i="1"/>
  <c r="BT509" i="1"/>
  <c r="BU509" i="1"/>
  <c r="BV509" i="1"/>
  <c r="BW509" i="1"/>
  <c r="BX509" i="1"/>
  <c r="BY509" i="1"/>
  <c r="BZ509" i="1"/>
  <c r="CA509" i="1"/>
  <c r="CB509" i="1"/>
  <c r="CC509" i="1"/>
  <c r="CD509" i="1"/>
  <c r="CE509" i="1"/>
  <c r="CF509" i="1"/>
  <c r="CG509" i="1"/>
  <c r="CH509" i="1"/>
  <c r="CI509" i="1"/>
  <c r="CJ509" i="1"/>
  <c r="CK509" i="1"/>
  <c r="CL509" i="1"/>
  <c r="CM509" i="1"/>
  <c r="CN509" i="1"/>
  <c r="CO509" i="1"/>
  <c r="CP509" i="1"/>
  <c r="CQ509" i="1"/>
  <c r="CR509" i="1"/>
  <c r="CS509" i="1"/>
  <c r="CT509" i="1"/>
  <c r="CU509" i="1"/>
  <c r="CV509" i="1"/>
  <c r="CW509" i="1"/>
  <c r="CX509" i="1"/>
  <c r="CY509" i="1"/>
  <c r="CZ509" i="1"/>
  <c r="DA509" i="1"/>
  <c r="DB509" i="1"/>
  <c r="DC509" i="1"/>
  <c r="DD509" i="1"/>
  <c r="DE509" i="1"/>
  <c r="DF509" i="1"/>
  <c r="DG509" i="1"/>
  <c r="DH509" i="1"/>
  <c r="DI509" i="1"/>
  <c r="DJ509" i="1"/>
  <c r="DK509" i="1"/>
  <c r="DL509" i="1"/>
  <c r="DM509" i="1"/>
  <c r="DN509" i="1"/>
  <c r="DO509" i="1"/>
  <c r="DP509" i="1"/>
  <c r="DQ509" i="1"/>
  <c r="DR509" i="1"/>
  <c r="DS509" i="1"/>
  <c r="DT509" i="1"/>
  <c r="DU509" i="1"/>
  <c r="DV509" i="1"/>
  <c r="DW509" i="1"/>
  <c r="DX509" i="1"/>
  <c r="DY509" i="1"/>
  <c r="DZ509" i="1"/>
  <c r="EA509" i="1"/>
  <c r="EB509" i="1"/>
  <c r="EC509" i="1"/>
  <c r="ED509" i="1"/>
  <c r="EE509" i="1"/>
  <c r="EF509" i="1"/>
  <c r="EG509" i="1"/>
  <c r="EH509" i="1"/>
  <c r="EI509" i="1"/>
  <c r="EJ509" i="1"/>
  <c r="EK509" i="1"/>
  <c r="EL509" i="1"/>
  <c r="EM509" i="1"/>
  <c r="EN509" i="1"/>
  <c r="EO509" i="1"/>
  <c r="EP509" i="1"/>
  <c r="EQ509" i="1"/>
  <c r="ER509" i="1"/>
  <c r="ES509" i="1"/>
  <c r="ET509" i="1"/>
  <c r="EU509" i="1"/>
  <c r="EV509" i="1"/>
  <c r="EW509" i="1"/>
  <c r="EX509" i="1"/>
  <c r="EY509" i="1"/>
  <c r="EZ509" i="1"/>
  <c r="FA509" i="1"/>
  <c r="FB509" i="1"/>
  <c r="FC509" i="1"/>
  <c r="FD509" i="1"/>
  <c r="FE509" i="1"/>
  <c r="FF509" i="1"/>
  <c r="FG509" i="1"/>
  <c r="FH509" i="1"/>
  <c r="FI509" i="1"/>
  <c r="FJ509" i="1"/>
  <c r="FK509" i="1"/>
  <c r="FL509" i="1"/>
  <c r="FM509" i="1"/>
  <c r="FN509" i="1"/>
  <c r="FO509" i="1"/>
  <c r="FP509" i="1"/>
  <c r="FQ509" i="1"/>
  <c r="FR509" i="1"/>
  <c r="FS509" i="1"/>
  <c r="FT509" i="1"/>
  <c r="FU509" i="1"/>
  <c r="FV509" i="1"/>
  <c r="FW509" i="1"/>
  <c r="FX509" i="1"/>
  <c r="FY509" i="1"/>
  <c r="FZ509" i="1"/>
  <c r="GA509" i="1"/>
  <c r="GB509" i="1"/>
  <c r="GC509" i="1"/>
  <c r="GD509" i="1"/>
  <c r="GE509" i="1"/>
  <c r="GF509" i="1"/>
  <c r="GG509" i="1"/>
  <c r="GH509" i="1"/>
  <c r="GI509" i="1"/>
  <c r="GJ509" i="1"/>
  <c r="GK509" i="1"/>
  <c r="GL509" i="1"/>
  <c r="GM509" i="1"/>
  <c r="GN509" i="1"/>
  <c r="GO509" i="1"/>
  <c r="GP509" i="1"/>
  <c r="GQ509" i="1"/>
  <c r="GR509" i="1"/>
  <c r="GS509" i="1"/>
  <c r="GT509" i="1"/>
  <c r="GU509" i="1"/>
  <c r="GV509" i="1"/>
  <c r="GW509" i="1"/>
  <c r="GX509" i="1"/>
  <c r="D511" i="1"/>
  <c r="E513" i="1"/>
  <c r="Z513" i="1"/>
  <c r="AA513" i="1"/>
  <c r="AM513" i="1"/>
  <c r="AN513" i="1"/>
  <c r="BE513" i="1"/>
  <c r="BF513" i="1"/>
  <c r="BG513" i="1"/>
  <c r="BH513" i="1"/>
  <c r="BI513" i="1"/>
  <c r="BJ513" i="1"/>
  <c r="BK513" i="1"/>
  <c r="BL513" i="1"/>
  <c r="BM513" i="1"/>
  <c r="BN513" i="1"/>
  <c r="BO513" i="1"/>
  <c r="BP513" i="1"/>
  <c r="BQ513" i="1"/>
  <c r="BR513" i="1"/>
  <c r="BS513" i="1"/>
  <c r="BT513" i="1"/>
  <c r="BU513" i="1"/>
  <c r="BV513" i="1"/>
  <c r="BW513" i="1"/>
  <c r="CN513" i="1"/>
  <c r="CO513" i="1"/>
  <c r="CP513" i="1"/>
  <c r="CQ513" i="1"/>
  <c r="CR513" i="1"/>
  <c r="CS513" i="1"/>
  <c r="CT513" i="1"/>
  <c r="CU513" i="1"/>
  <c r="CV513" i="1"/>
  <c r="CW513" i="1"/>
  <c r="CX513" i="1"/>
  <c r="CY513" i="1"/>
  <c r="CZ513" i="1"/>
  <c r="DA513" i="1"/>
  <c r="DB513" i="1"/>
  <c r="DC513" i="1"/>
  <c r="DD513" i="1"/>
  <c r="DE513" i="1"/>
  <c r="DF513" i="1"/>
  <c r="DG513" i="1"/>
  <c r="DH513" i="1"/>
  <c r="DI513" i="1"/>
  <c r="DJ513" i="1"/>
  <c r="DK513" i="1"/>
  <c r="DL513" i="1"/>
  <c r="DM513" i="1"/>
  <c r="DN513" i="1"/>
  <c r="DO513" i="1"/>
  <c r="DP513" i="1"/>
  <c r="DQ513" i="1"/>
  <c r="DR513" i="1"/>
  <c r="DS513" i="1"/>
  <c r="DT513" i="1"/>
  <c r="DU513" i="1"/>
  <c r="DV513" i="1"/>
  <c r="DW513" i="1"/>
  <c r="DX513" i="1"/>
  <c r="DY513" i="1"/>
  <c r="DZ513" i="1"/>
  <c r="EA513" i="1"/>
  <c r="EB513" i="1"/>
  <c r="EC513" i="1"/>
  <c r="ED513" i="1"/>
  <c r="EE513" i="1"/>
  <c r="EF513" i="1"/>
  <c r="EG513" i="1"/>
  <c r="EH513" i="1"/>
  <c r="EI513" i="1"/>
  <c r="EJ513" i="1"/>
  <c r="EK513" i="1"/>
  <c r="EL513" i="1"/>
  <c r="EM513" i="1"/>
  <c r="EN513" i="1"/>
  <c r="EO513" i="1"/>
  <c r="EP513" i="1"/>
  <c r="EQ513" i="1"/>
  <c r="ER513" i="1"/>
  <c r="ES513" i="1"/>
  <c r="ET513" i="1"/>
  <c r="EU513" i="1"/>
  <c r="EV513" i="1"/>
  <c r="EW513" i="1"/>
  <c r="EX513" i="1"/>
  <c r="EY513" i="1"/>
  <c r="EZ513" i="1"/>
  <c r="FA513" i="1"/>
  <c r="FB513" i="1"/>
  <c r="FC513" i="1"/>
  <c r="FD513" i="1"/>
  <c r="FE513" i="1"/>
  <c r="FF513" i="1"/>
  <c r="FG513" i="1"/>
  <c r="FH513" i="1"/>
  <c r="FI513" i="1"/>
  <c r="FJ513" i="1"/>
  <c r="FK513" i="1"/>
  <c r="FL513" i="1"/>
  <c r="FM513" i="1"/>
  <c r="FN513" i="1"/>
  <c r="FO513" i="1"/>
  <c r="FP513" i="1"/>
  <c r="FQ513" i="1"/>
  <c r="FR513" i="1"/>
  <c r="FS513" i="1"/>
  <c r="FT513" i="1"/>
  <c r="FU513" i="1"/>
  <c r="FV513" i="1"/>
  <c r="FW513" i="1"/>
  <c r="FX513" i="1"/>
  <c r="FY513" i="1"/>
  <c r="FZ513" i="1"/>
  <c r="GA513" i="1"/>
  <c r="GB513" i="1"/>
  <c r="GC513" i="1"/>
  <c r="GD513" i="1"/>
  <c r="GE513" i="1"/>
  <c r="GF513" i="1"/>
  <c r="GG513" i="1"/>
  <c r="GH513" i="1"/>
  <c r="GI513" i="1"/>
  <c r="GJ513" i="1"/>
  <c r="GK513" i="1"/>
  <c r="GL513" i="1"/>
  <c r="GM513" i="1"/>
  <c r="GN513" i="1"/>
  <c r="GO513" i="1"/>
  <c r="GP513" i="1"/>
  <c r="GQ513" i="1"/>
  <c r="GR513" i="1"/>
  <c r="GS513" i="1"/>
  <c r="GT513" i="1"/>
  <c r="GU513" i="1"/>
  <c r="GV513" i="1"/>
  <c r="GW513" i="1"/>
  <c r="GX513" i="1"/>
  <c r="D515" i="1"/>
  <c r="AC515" i="1"/>
  <c r="AE515" i="1"/>
  <c r="AD515" i="1" s="1"/>
  <c r="AF515" i="1"/>
  <c r="CT515" i="1" s="1"/>
  <c r="S515" i="1" s="1"/>
  <c r="AG515" i="1"/>
  <c r="CU515" i="1" s="1"/>
  <c r="T515" i="1" s="1"/>
  <c r="AH515" i="1"/>
  <c r="CV515" i="1" s="1"/>
  <c r="U515" i="1" s="1"/>
  <c r="AI515" i="1"/>
  <c r="CW515" i="1" s="1"/>
  <c r="V515" i="1" s="1"/>
  <c r="AJ515" i="1"/>
  <c r="CX515" i="1" s="1"/>
  <c r="W515" i="1" s="1"/>
  <c r="CQ515" i="1"/>
  <c r="P515" i="1" s="1"/>
  <c r="FR515" i="1"/>
  <c r="GL515" i="1"/>
  <c r="GN515" i="1"/>
  <c r="GO515" i="1"/>
  <c r="GV515" i="1"/>
  <c r="HC515" i="1" s="1"/>
  <c r="GX515" i="1" s="1"/>
  <c r="D516" i="1"/>
  <c r="AC516" i="1"/>
  <c r="CQ516" i="1" s="1"/>
  <c r="P516" i="1" s="1"/>
  <c r="J732" i="6" s="1"/>
  <c r="AE516" i="1"/>
  <c r="AF516" i="1"/>
  <c r="AG516" i="1"/>
  <c r="CU516" i="1" s="1"/>
  <c r="T516" i="1" s="1"/>
  <c r="AH516" i="1"/>
  <c r="CV516" i="1" s="1"/>
  <c r="U516" i="1" s="1"/>
  <c r="K735" i="6" s="1"/>
  <c r="AI516" i="1"/>
  <c r="CW516" i="1" s="1"/>
  <c r="V516" i="1" s="1"/>
  <c r="AJ516" i="1"/>
  <c r="CX516" i="1"/>
  <c r="W516" i="1" s="1"/>
  <c r="FR516" i="1"/>
  <c r="GL516" i="1"/>
  <c r="GN516" i="1"/>
  <c r="GO516" i="1"/>
  <c r="GV516" i="1"/>
  <c r="HC516" i="1"/>
  <c r="GX516" i="1" s="1"/>
  <c r="D517" i="1"/>
  <c r="AC517" i="1"/>
  <c r="CQ517" i="1" s="1"/>
  <c r="P517" i="1" s="1"/>
  <c r="AE517" i="1"/>
  <c r="AF517" i="1"/>
  <c r="AG517" i="1"/>
  <c r="CU517" i="1" s="1"/>
  <c r="T517" i="1" s="1"/>
  <c r="AH517" i="1"/>
  <c r="CV517" i="1" s="1"/>
  <c r="U517" i="1" s="1"/>
  <c r="K742" i="6" s="1"/>
  <c r="AI517" i="1"/>
  <c r="CW517" i="1" s="1"/>
  <c r="V517" i="1" s="1"/>
  <c r="AJ517" i="1"/>
  <c r="CX517" i="1" s="1"/>
  <c r="W517" i="1" s="1"/>
  <c r="CR517" i="1"/>
  <c r="Q517" i="1" s="1"/>
  <c r="FR517" i="1"/>
  <c r="GL517" i="1"/>
  <c r="GN517" i="1"/>
  <c r="GO517" i="1"/>
  <c r="GV517" i="1"/>
  <c r="HC517" i="1" s="1"/>
  <c r="GX517" i="1" s="1"/>
  <c r="D518" i="1"/>
  <c r="P518" i="1"/>
  <c r="AC518" i="1"/>
  <c r="AE518" i="1"/>
  <c r="AD518" i="1" s="1"/>
  <c r="AB518" i="1" s="1"/>
  <c r="AF518" i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 s="1"/>
  <c r="W518" i="1" s="1"/>
  <c r="CQ518" i="1"/>
  <c r="CR518" i="1"/>
  <c r="Q518" i="1" s="1"/>
  <c r="CT518" i="1"/>
  <c r="S518" i="1" s="1"/>
  <c r="FR518" i="1"/>
  <c r="GL518" i="1"/>
  <c r="GN518" i="1"/>
  <c r="GO518" i="1"/>
  <c r="GV518" i="1"/>
  <c r="HC518" i="1" s="1"/>
  <c r="GX518" i="1" s="1"/>
  <c r="D519" i="1"/>
  <c r="AC519" i="1"/>
  <c r="CQ519" i="1" s="1"/>
  <c r="P519" i="1" s="1"/>
  <c r="J748" i="6" s="1"/>
  <c r="AE519" i="1"/>
  <c r="AF519" i="1"/>
  <c r="AG519" i="1"/>
  <c r="CU519" i="1" s="1"/>
  <c r="T519" i="1" s="1"/>
  <c r="AH519" i="1"/>
  <c r="CV519" i="1" s="1"/>
  <c r="U519" i="1" s="1"/>
  <c r="K752" i="6" s="1"/>
  <c r="AI519" i="1"/>
  <c r="AJ519" i="1"/>
  <c r="CW519" i="1"/>
  <c r="V519" i="1" s="1"/>
  <c r="CX519" i="1"/>
  <c r="W519" i="1" s="1"/>
  <c r="FR519" i="1"/>
  <c r="GL519" i="1"/>
  <c r="GN519" i="1"/>
  <c r="GO519" i="1"/>
  <c r="GV519" i="1"/>
  <c r="HC519" i="1" s="1"/>
  <c r="GX519" i="1" s="1"/>
  <c r="D520" i="1"/>
  <c r="Q520" i="1"/>
  <c r="J756" i="6" s="1"/>
  <c r="AC520" i="1"/>
  <c r="AE520" i="1"/>
  <c r="AF520" i="1"/>
  <c r="AG520" i="1"/>
  <c r="CU520" i="1" s="1"/>
  <c r="T520" i="1" s="1"/>
  <c r="AH520" i="1"/>
  <c r="CV520" i="1" s="1"/>
  <c r="U520" i="1" s="1"/>
  <c r="K762" i="6" s="1"/>
  <c r="AI520" i="1"/>
  <c r="CW520" i="1" s="1"/>
  <c r="V520" i="1" s="1"/>
  <c r="AJ520" i="1"/>
  <c r="CX520" i="1" s="1"/>
  <c r="W520" i="1" s="1"/>
  <c r="CR520" i="1"/>
  <c r="CS520" i="1"/>
  <c r="FR520" i="1"/>
  <c r="GL520" i="1"/>
  <c r="GN520" i="1"/>
  <c r="GO520" i="1"/>
  <c r="GV520" i="1"/>
  <c r="HC520" i="1"/>
  <c r="GX520" i="1" s="1"/>
  <c r="D521" i="1"/>
  <c r="AC521" i="1"/>
  <c r="AE521" i="1"/>
  <c r="AF521" i="1"/>
  <c r="AG521" i="1"/>
  <c r="AH521" i="1"/>
  <c r="CV521" i="1" s="1"/>
  <c r="U521" i="1" s="1"/>
  <c r="K772" i="6" s="1"/>
  <c r="AI521" i="1"/>
  <c r="CW521" i="1" s="1"/>
  <c r="V521" i="1" s="1"/>
  <c r="AJ521" i="1"/>
  <c r="CX521" i="1" s="1"/>
  <c r="W521" i="1" s="1"/>
  <c r="CQ521" i="1"/>
  <c r="P521" i="1" s="1"/>
  <c r="J768" i="6" s="1"/>
  <c r="CR521" i="1"/>
  <c r="Q521" i="1" s="1"/>
  <c r="CS521" i="1"/>
  <c r="CU521" i="1"/>
  <c r="T521" i="1" s="1"/>
  <c r="FR521" i="1"/>
  <c r="GL521" i="1"/>
  <c r="GN521" i="1"/>
  <c r="GO521" i="1"/>
  <c r="GV521" i="1"/>
  <c r="HC521" i="1"/>
  <c r="GX521" i="1" s="1"/>
  <c r="D522" i="1"/>
  <c r="W522" i="1"/>
  <c r="AC522" i="1"/>
  <c r="CQ522" i="1" s="1"/>
  <c r="P522" i="1" s="1"/>
  <c r="AE522" i="1"/>
  <c r="AF522" i="1"/>
  <c r="CT522" i="1" s="1"/>
  <c r="S522" i="1" s="1"/>
  <c r="AG522" i="1"/>
  <c r="CU522" i="1" s="1"/>
  <c r="T522" i="1" s="1"/>
  <c r="AH522" i="1"/>
  <c r="CV522" i="1" s="1"/>
  <c r="U522" i="1" s="1"/>
  <c r="AI522" i="1"/>
  <c r="CW522" i="1" s="1"/>
  <c r="V522" i="1" s="1"/>
  <c r="AJ522" i="1"/>
  <c r="CX522" i="1"/>
  <c r="FR522" i="1"/>
  <c r="GL522" i="1"/>
  <c r="GN522" i="1"/>
  <c r="GO522" i="1"/>
  <c r="GV522" i="1"/>
  <c r="HC522" i="1" s="1"/>
  <c r="GX522" i="1" s="1"/>
  <c r="D523" i="1"/>
  <c r="W523" i="1"/>
  <c r="AC523" i="1"/>
  <c r="AE523" i="1"/>
  <c r="CS523" i="1" s="1"/>
  <c r="AF523" i="1"/>
  <c r="CT523" i="1" s="1"/>
  <c r="S523" i="1" s="1"/>
  <c r="J775" i="6" s="1"/>
  <c r="AG523" i="1"/>
  <c r="CU523" i="1" s="1"/>
  <c r="T523" i="1" s="1"/>
  <c r="AH523" i="1"/>
  <c r="CV523" i="1" s="1"/>
  <c r="U523" i="1" s="1"/>
  <c r="K779" i="6" s="1"/>
  <c r="AI523" i="1"/>
  <c r="CW523" i="1" s="1"/>
  <c r="V523" i="1" s="1"/>
  <c r="AJ523" i="1"/>
  <c r="CX523" i="1" s="1"/>
  <c r="CQ523" i="1"/>
  <c r="P523" i="1" s="1"/>
  <c r="FR523" i="1"/>
  <c r="GL523" i="1"/>
  <c r="GN523" i="1"/>
  <c r="GO523" i="1"/>
  <c r="GV523" i="1"/>
  <c r="HC523" i="1" s="1"/>
  <c r="GX523" i="1" s="1"/>
  <c r="D524" i="1"/>
  <c r="AC524" i="1"/>
  <c r="AD524" i="1"/>
  <c r="AE524" i="1"/>
  <c r="AF524" i="1"/>
  <c r="AG524" i="1"/>
  <c r="CU524" i="1" s="1"/>
  <c r="T524" i="1" s="1"/>
  <c r="AH524" i="1"/>
  <c r="CV524" i="1" s="1"/>
  <c r="U524" i="1" s="1"/>
  <c r="K786" i="6" s="1"/>
  <c r="AI524" i="1"/>
  <c r="CW524" i="1" s="1"/>
  <c r="V524" i="1" s="1"/>
  <c r="AJ524" i="1"/>
  <c r="CX524" i="1" s="1"/>
  <c r="W524" i="1" s="1"/>
  <c r="CR524" i="1"/>
  <c r="Q524" i="1" s="1"/>
  <c r="FR524" i="1"/>
  <c r="GL524" i="1"/>
  <c r="GN524" i="1"/>
  <c r="GO524" i="1"/>
  <c r="GV524" i="1"/>
  <c r="HC524" i="1" s="1"/>
  <c r="GX524" i="1" s="1"/>
  <c r="D525" i="1"/>
  <c r="U525" i="1"/>
  <c r="K793" i="6" s="1"/>
  <c r="AC525" i="1"/>
  <c r="CQ525" i="1" s="1"/>
  <c r="P525" i="1" s="1"/>
  <c r="J790" i="6" s="1"/>
  <c r="AE525" i="1"/>
  <c r="AF525" i="1"/>
  <c r="AG525" i="1"/>
  <c r="AH525" i="1"/>
  <c r="AI525" i="1"/>
  <c r="AJ525" i="1"/>
  <c r="CU525" i="1"/>
  <c r="T525" i="1" s="1"/>
  <c r="CV525" i="1"/>
  <c r="CW525" i="1"/>
  <c r="V525" i="1" s="1"/>
  <c r="CX525" i="1"/>
  <c r="W525" i="1" s="1"/>
  <c r="FR525" i="1"/>
  <c r="GL525" i="1"/>
  <c r="GN525" i="1"/>
  <c r="GO525" i="1"/>
  <c r="GV525" i="1"/>
  <c r="HC525" i="1"/>
  <c r="GX525" i="1" s="1"/>
  <c r="B527" i="1"/>
  <c r="B513" i="1" s="1"/>
  <c r="C527" i="1"/>
  <c r="C513" i="1" s="1"/>
  <c r="D527" i="1"/>
  <c r="D513" i="1" s="1"/>
  <c r="F527" i="1"/>
  <c r="F513" i="1" s="1"/>
  <c r="G527" i="1"/>
  <c r="BC527" i="1"/>
  <c r="BX527" i="1"/>
  <c r="BX513" i="1" s="1"/>
  <c r="CK527" i="1"/>
  <c r="CK513" i="1" s="1"/>
  <c r="CL527" i="1"/>
  <c r="CL513" i="1" s="1"/>
  <c r="CM527" i="1"/>
  <c r="CM513" i="1" s="1"/>
  <c r="D557" i="1"/>
  <c r="E559" i="1"/>
  <c r="Z559" i="1"/>
  <c r="AA559" i="1"/>
  <c r="AG559" i="1"/>
  <c r="AM559" i="1"/>
  <c r="AN559" i="1"/>
  <c r="BE559" i="1"/>
  <c r="BF559" i="1"/>
  <c r="BG559" i="1"/>
  <c r="BH559" i="1"/>
  <c r="BI559" i="1"/>
  <c r="BJ559" i="1"/>
  <c r="BK559" i="1"/>
  <c r="BL559" i="1"/>
  <c r="BM559" i="1"/>
  <c r="BN559" i="1"/>
  <c r="BO559" i="1"/>
  <c r="BP559" i="1"/>
  <c r="BQ559" i="1"/>
  <c r="BR559" i="1"/>
  <c r="BS559" i="1"/>
  <c r="BT559" i="1"/>
  <c r="BU559" i="1"/>
  <c r="BV559" i="1"/>
  <c r="BW559" i="1"/>
  <c r="CN559" i="1"/>
  <c r="CO559" i="1"/>
  <c r="CP559" i="1"/>
  <c r="CQ559" i="1"/>
  <c r="CR559" i="1"/>
  <c r="CS559" i="1"/>
  <c r="CT559" i="1"/>
  <c r="CU559" i="1"/>
  <c r="CV559" i="1"/>
  <c r="CW559" i="1"/>
  <c r="CX559" i="1"/>
  <c r="CY559" i="1"/>
  <c r="CZ559" i="1"/>
  <c r="DA559" i="1"/>
  <c r="DB559" i="1"/>
  <c r="DC559" i="1"/>
  <c r="DD559" i="1"/>
  <c r="DE559" i="1"/>
  <c r="DF559" i="1"/>
  <c r="DG559" i="1"/>
  <c r="DH559" i="1"/>
  <c r="DI559" i="1"/>
  <c r="DJ559" i="1"/>
  <c r="DK559" i="1"/>
  <c r="DL559" i="1"/>
  <c r="DM559" i="1"/>
  <c r="DN559" i="1"/>
  <c r="DO559" i="1"/>
  <c r="DP559" i="1"/>
  <c r="DQ559" i="1"/>
  <c r="DR559" i="1"/>
  <c r="DS559" i="1"/>
  <c r="DT559" i="1"/>
  <c r="DU559" i="1"/>
  <c r="DV559" i="1"/>
  <c r="DW559" i="1"/>
  <c r="DX559" i="1"/>
  <c r="DY559" i="1"/>
  <c r="DZ559" i="1"/>
  <c r="EA559" i="1"/>
  <c r="EB559" i="1"/>
  <c r="EC559" i="1"/>
  <c r="ED559" i="1"/>
  <c r="EE559" i="1"/>
  <c r="EF559" i="1"/>
  <c r="EG559" i="1"/>
  <c r="EH559" i="1"/>
  <c r="EI559" i="1"/>
  <c r="EJ559" i="1"/>
  <c r="EK559" i="1"/>
  <c r="EL559" i="1"/>
  <c r="EM559" i="1"/>
  <c r="EN559" i="1"/>
  <c r="EO559" i="1"/>
  <c r="EP559" i="1"/>
  <c r="EQ559" i="1"/>
  <c r="ER559" i="1"/>
  <c r="ES559" i="1"/>
  <c r="ET559" i="1"/>
  <c r="EU559" i="1"/>
  <c r="EV559" i="1"/>
  <c r="EW559" i="1"/>
  <c r="EX559" i="1"/>
  <c r="EY559" i="1"/>
  <c r="EZ559" i="1"/>
  <c r="FA559" i="1"/>
  <c r="FB559" i="1"/>
  <c r="FC559" i="1"/>
  <c r="FD559" i="1"/>
  <c r="FE559" i="1"/>
  <c r="FF559" i="1"/>
  <c r="FG559" i="1"/>
  <c r="FH559" i="1"/>
  <c r="FI559" i="1"/>
  <c r="FJ559" i="1"/>
  <c r="FK559" i="1"/>
  <c r="FL559" i="1"/>
  <c r="FM559" i="1"/>
  <c r="FN559" i="1"/>
  <c r="FO559" i="1"/>
  <c r="FP559" i="1"/>
  <c r="FQ559" i="1"/>
  <c r="FR559" i="1"/>
  <c r="FS559" i="1"/>
  <c r="FT559" i="1"/>
  <c r="FU559" i="1"/>
  <c r="FV559" i="1"/>
  <c r="FW559" i="1"/>
  <c r="FX559" i="1"/>
  <c r="FY559" i="1"/>
  <c r="FZ559" i="1"/>
  <c r="GA559" i="1"/>
  <c r="GB559" i="1"/>
  <c r="GC559" i="1"/>
  <c r="GD559" i="1"/>
  <c r="GE559" i="1"/>
  <c r="GF559" i="1"/>
  <c r="GG559" i="1"/>
  <c r="GH559" i="1"/>
  <c r="GI559" i="1"/>
  <c r="GJ559" i="1"/>
  <c r="GK559" i="1"/>
  <c r="GL559" i="1"/>
  <c r="GM559" i="1"/>
  <c r="GN559" i="1"/>
  <c r="GO559" i="1"/>
  <c r="GP559" i="1"/>
  <c r="GQ559" i="1"/>
  <c r="GR559" i="1"/>
  <c r="GS559" i="1"/>
  <c r="GT559" i="1"/>
  <c r="GU559" i="1"/>
  <c r="GV559" i="1"/>
  <c r="GW559" i="1"/>
  <c r="GX559" i="1"/>
  <c r="D561" i="1"/>
  <c r="I561" i="1"/>
  <c r="K561" i="1"/>
  <c r="AC561" i="1"/>
  <c r="CQ561" i="1" s="1"/>
  <c r="AE561" i="1"/>
  <c r="AD561" i="1" s="1"/>
  <c r="AF561" i="1"/>
  <c r="CT561" i="1" s="1"/>
  <c r="AG561" i="1"/>
  <c r="CU561" i="1" s="1"/>
  <c r="T561" i="1" s="1"/>
  <c r="AH561" i="1"/>
  <c r="CV561" i="1" s="1"/>
  <c r="U561" i="1" s="1"/>
  <c r="AI561" i="1"/>
  <c r="CW561" i="1" s="1"/>
  <c r="V561" i="1" s="1"/>
  <c r="AJ561" i="1"/>
  <c r="CX561" i="1" s="1"/>
  <c r="W561" i="1" s="1"/>
  <c r="CR561" i="1"/>
  <c r="Q561" i="1" s="1"/>
  <c r="CS561" i="1"/>
  <c r="FR561" i="1"/>
  <c r="GL561" i="1"/>
  <c r="GN561" i="1"/>
  <c r="GO561" i="1"/>
  <c r="GV561" i="1"/>
  <c r="HC561" i="1"/>
  <c r="GX561" i="1" s="1"/>
  <c r="D562" i="1"/>
  <c r="I562" i="1"/>
  <c r="K562" i="1"/>
  <c r="AC562" i="1"/>
  <c r="AB562" i="1" s="1"/>
  <c r="AE562" i="1"/>
  <c r="AD562" i="1" s="1"/>
  <c r="AF562" i="1"/>
  <c r="CT562" i="1" s="1"/>
  <c r="AG562" i="1"/>
  <c r="CU562" i="1" s="1"/>
  <c r="AH562" i="1"/>
  <c r="CV562" i="1" s="1"/>
  <c r="AI562" i="1"/>
  <c r="AJ562" i="1"/>
  <c r="CX562" i="1" s="1"/>
  <c r="CQ562" i="1"/>
  <c r="CR562" i="1"/>
  <c r="CS562" i="1"/>
  <c r="R562" i="1" s="1"/>
  <c r="GK562" i="1" s="1"/>
  <c r="CW562" i="1"/>
  <c r="V562" i="1" s="1"/>
  <c r="FR562" i="1"/>
  <c r="GL562" i="1"/>
  <c r="GN562" i="1"/>
  <c r="GO562" i="1"/>
  <c r="GV562" i="1"/>
  <c r="HC562" i="1" s="1"/>
  <c r="GX562" i="1" s="1"/>
  <c r="B564" i="1"/>
  <c r="B559" i="1" s="1"/>
  <c r="C564" i="1"/>
  <c r="C559" i="1" s="1"/>
  <c r="D564" i="1"/>
  <c r="D559" i="1" s="1"/>
  <c r="F564" i="1"/>
  <c r="F559" i="1" s="1"/>
  <c r="G564" i="1"/>
  <c r="A801" i="6" s="1"/>
  <c r="T564" i="1"/>
  <c r="T559" i="1" s="1"/>
  <c r="U564" i="1"/>
  <c r="U559" i="1" s="1"/>
  <c r="V564" i="1"/>
  <c r="V559" i="1" s="1"/>
  <c r="X564" i="1"/>
  <c r="F590" i="1" s="1"/>
  <c r="Y564" i="1"/>
  <c r="F591" i="1" s="1"/>
  <c r="AB564" i="1"/>
  <c r="O564" i="1" s="1"/>
  <c r="AC564" i="1"/>
  <c r="P564" i="1" s="1"/>
  <c r="AD564" i="1"/>
  <c r="Q564" i="1" s="1"/>
  <c r="Q559" i="1" s="1"/>
  <c r="AE564" i="1"/>
  <c r="R564" i="1" s="1"/>
  <c r="R559" i="1" s="1"/>
  <c r="AF564" i="1"/>
  <c r="AG564" i="1"/>
  <c r="AH564" i="1"/>
  <c r="AH559" i="1" s="1"/>
  <c r="AI564" i="1"/>
  <c r="AI559" i="1" s="1"/>
  <c r="AJ564" i="1"/>
  <c r="AJ559" i="1" s="1"/>
  <c r="AK564" i="1"/>
  <c r="AK559" i="1" s="1"/>
  <c r="AL564" i="1"/>
  <c r="AL559" i="1" s="1"/>
  <c r="AO564" i="1"/>
  <c r="AO559" i="1" s="1"/>
  <c r="AP564" i="1"/>
  <c r="F573" i="1" s="1"/>
  <c r="AQ564" i="1"/>
  <c r="F574" i="1" s="1"/>
  <c r="AS564" i="1"/>
  <c r="AS559" i="1" s="1"/>
  <c r="BX564" i="1"/>
  <c r="BY564" i="1"/>
  <c r="BZ564" i="1"/>
  <c r="BZ559" i="1" s="1"/>
  <c r="CA564" i="1"/>
  <c r="CA559" i="1" s="1"/>
  <c r="CB564" i="1"/>
  <c r="CB559" i="1" s="1"/>
  <c r="CC564" i="1"/>
  <c r="CC559" i="1" s="1"/>
  <c r="CD564" i="1"/>
  <c r="AU564" i="1" s="1"/>
  <c r="CJ564" i="1"/>
  <c r="CJ559" i="1" s="1"/>
  <c r="CK564" i="1"/>
  <c r="CK559" i="1" s="1"/>
  <c r="CL564" i="1"/>
  <c r="BC564" i="1" s="1"/>
  <c r="F580" i="1" s="1"/>
  <c r="CM564" i="1"/>
  <c r="BD564" i="1" s="1"/>
  <c r="F585" i="1"/>
  <c r="F586" i="1"/>
  <c r="F587" i="1"/>
  <c r="B594" i="1"/>
  <c r="B509" i="1" s="1"/>
  <c r="C594" i="1"/>
  <c r="C509" i="1" s="1"/>
  <c r="D594" i="1"/>
  <c r="D509" i="1" s="1"/>
  <c r="F594" i="1"/>
  <c r="F509" i="1" s="1"/>
  <c r="G594" i="1"/>
  <c r="A804" i="6" s="1"/>
  <c r="B624" i="1"/>
  <c r="B505" i="1" s="1"/>
  <c r="C624" i="1"/>
  <c r="C505" i="1" s="1"/>
  <c r="D624" i="1"/>
  <c r="D505" i="1" s="1"/>
  <c r="F624" i="1"/>
  <c r="F505" i="1" s="1"/>
  <c r="G624" i="1"/>
  <c r="B654" i="1"/>
  <c r="B18" i="1" s="1"/>
  <c r="C654" i="1"/>
  <c r="C18" i="1" s="1"/>
  <c r="D654" i="1"/>
  <c r="D18" i="1" s="1"/>
  <c r="F654" i="1"/>
  <c r="F18" i="1" s="1"/>
  <c r="G654" i="1"/>
  <c r="J251" i="6" l="1"/>
  <c r="CY126" i="1"/>
  <c r="X126" i="1" s="1"/>
  <c r="R213" i="6" s="1"/>
  <c r="J217" i="6" s="1"/>
  <c r="J215" i="6"/>
  <c r="J739" i="6"/>
  <c r="J216" i="6"/>
  <c r="CP126" i="1"/>
  <c r="O126" i="1" s="1"/>
  <c r="R523" i="1"/>
  <c r="GK523" i="1" s="1"/>
  <c r="V774" i="6"/>
  <c r="AO392" i="1"/>
  <c r="AO443" i="1"/>
  <c r="J681" i="6"/>
  <c r="CY404" i="1"/>
  <c r="X404" i="1" s="1"/>
  <c r="CZ404" i="1"/>
  <c r="Y404" i="1" s="1"/>
  <c r="CY77" i="1"/>
  <c r="X77" i="1" s="1"/>
  <c r="R121" i="6" s="1"/>
  <c r="J124" i="6" s="1"/>
  <c r="J123" i="6"/>
  <c r="CZ77" i="1"/>
  <c r="Y77" i="1" s="1"/>
  <c r="T121" i="6" s="1"/>
  <c r="J125" i="6" s="1"/>
  <c r="I127" i="6" s="1"/>
  <c r="P127" i="6" s="1"/>
  <c r="P559" i="1"/>
  <c r="F567" i="1"/>
  <c r="I357" i="6"/>
  <c r="AG527" i="1"/>
  <c r="CP398" i="1"/>
  <c r="O398" i="1" s="1"/>
  <c r="J620" i="6"/>
  <c r="CP518" i="1"/>
  <c r="O518" i="1" s="1"/>
  <c r="Q661" i="6"/>
  <c r="S661" i="6"/>
  <c r="S550" i="6"/>
  <c r="Q550" i="6"/>
  <c r="CT353" i="1"/>
  <c r="S353" i="1" s="1"/>
  <c r="J551" i="6" s="1"/>
  <c r="Q202" i="6"/>
  <c r="S202" i="6"/>
  <c r="CT125" i="1"/>
  <c r="S125" i="1" s="1"/>
  <c r="CT219" i="1"/>
  <c r="S219" i="1" s="1"/>
  <c r="Q366" i="6"/>
  <c r="S366" i="6"/>
  <c r="J196" i="6"/>
  <c r="CR79" i="1"/>
  <c r="Q79" i="1" s="1"/>
  <c r="CS79" i="1"/>
  <c r="R79" i="1" s="1"/>
  <c r="GK79" i="1" s="1"/>
  <c r="AD79" i="1"/>
  <c r="AB79" i="1" s="1"/>
  <c r="J62" i="6"/>
  <c r="J54" i="6"/>
  <c r="AD133" i="1"/>
  <c r="AB133" i="1" s="1"/>
  <c r="U243" i="6"/>
  <c r="CR133" i="1"/>
  <c r="Q133" i="1" s="1"/>
  <c r="CT35" i="1"/>
  <c r="S35" i="1" s="1"/>
  <c r="J75" i="6" s="1"/>
  <c r="Q74" i="6"/>
  <c r="S74" i="6"/>
  <c r="G513" i="1"/>
  <c r="A796" i="6"/>
  <c r="CC527" i="1"/>
  <c r="Q410" i="1"/>
  <c r="J599" i="6"/>
  <c r="AB353" i="1"/>
  <c r="CQ353" i="1"/>
  <c r="P353" i="1" s="1"/>
  <c r="J552" i="6" s="1"/>
  <c r="P29" i="1"/>
  <c r="CT517" i="1"/>
  <c r="S517" i="1" s="1"/>
  <c r="S737" i="6"/>
  <c r="Q737" i="6"/>
  <c r="CR516" i="1"/>
  <c r="Q516" i="1" s="1"/>
  <c r="U730" i="6"/>
  <c r="G339" i="1"/>
  <c r="A719" i="6"/>
  <c r="GX410" i="1"/>
  <c r="CT405" i="1"/>
  <c r="S405" i="1" s="1"/>
  <c r="AD399" i="1"/>
  <c r="AB399" i="1" s="1"/>
  <c r="U625" i="6"/>
  <c r="S604" i="6"/>
  <c r="Q604" i="6"/>
  <c r="CT396" i="1"/>
  <c r="S396" i="1" s="1"/>
  <c r="J605" i="6" s="1"/>
  <c r="CT214" i="1"/>
  <c r="S214" i="1" s="1"/>
  <c r="S329" i="6"/>
  <c r="Q329" i="6"/>
  <c r="W29" i="1"/>
  <c r="W564" i="1"/>
  <c r="W559" i="1" s="1"/>
  <c r="S561" i="1"/>
  <c r="CS524" i="1"/>
  <c r="U781" i="6"/>
  <c r="AD520" i="1"/>
  <c r="U754" i="6"/>
  <c r="CS517" i="1"/>
  <c r="U737" i="6"/>
  <c r="AD407" i="1"/>
  <c r="CR406" i="1"/>
  <c r="Q406" i="1" s="1"/>
  <c r="J669" i="6" s="1"/>
  <c r="U667" i="6"/>
  <c r="CS405" i="1"/>
  <c r="AD403" i="1"/>
  <c r="AB403" i="1" s="1"/>
  <c r="U654" i="6"/>
  <c r="BY413" i="1"/>
  <c r="S647" i="6"/>
  <c r="Q647" i="6"/>
  <c r="CP399" i="1"/>
  <c r="O399" i="1" s="1"/>
  <c r="AD396" i="1"/>
  <c r="U604" i="6"/>
  <c r="CR396" i="1"/>
  <c r="Q396" i="1" s="1"/>
  <c r="CS396" i="1"/>
  <c r="J447" i="6"/>
  <c r="E397" i="6"/>
  <c r="C398" i="6"/>
  <c r="CT134" i="1"/>
  <c r="S134" i="1" s="1"/>
  <c r="J250" i="6" s="1"/>
  <c r="S249" i="6"/>
  <c r="Q249" i="6"/>
  <c r="W129" i="1"/>
  <c r="CZ79" i="1"/>
  <c r="Y79" i="1" s="1"/>
  <c r="AJ87" i="1"/>
  <c r="R41" i="1"/>
  <c r="V107" i="6"/>
  <c r="J113" i="6" s="1"/>
  <c r="GX30" i="1"/>
  <c r="V29" i="1"/>
  <c r="G392" i="1"/>
  <c r="A716" i="6"/>
  <c r="P562" i="1"/>
  <c r="BY527" i="1"/>
  <c r="BY513" i="1" s="1"/>
  <c r="CP406" i="1"/>
  <c r="O406" i="1" s="1"/>
  <c r="J671" i="6"/>
  <c r="CR405" i="1"/>
  <c r="Q405" i="1" s="1"/>
  <c r="AD402" i="1"/>
  <c r="U647" i="6"/>
  <c r="S632" i="6"/>
  <c r="Q632" i="6"/>
  <c r="S355" i="1"/>
  <c r="AD268" i="1"/>
  <c r="CY265" i="1"/>
  <c r="X265" i="1" s="1"/>
  <c r="CZ265" i="1"/>
  <c r="Y265" i="1" s="1"/>
  <c r="R217" i="1"/>
  <c r="GK217" i="1" s="1"/>
  <c r="V175" i="1"/>
  <c r="AB175" i="1"/>
  <c r="CS134" i="1"/>
  <c r="U249" i="6"/>
  <c r="CR134" i="1"/>
  <c r="Q134" i="1" s="1"/>
  <c r="CP134" i="1" s="1"/>
  <c r="O134" i="1" s="1"/>
  <c r="C236" i="6"/>
  <c r="E235" i="6"/>
  <c r="GX128" i="1"/>
  <c r="R127" i="1"/>
  <c r="GK127" i="1" s="1"/>
  <c r="V221" i="6"/>
  <c r="S191" i="6"/>
  <c r="Q191" i="6"/>
  <c r="CT124" i="1"/>
  <c r="S124" i="1" s="1"/>
  <c r="J193" i="6" s="1"/>
  <c r="E170" i="6"/>
  <c r="C171" i="6"/>
  <c r="J137" i="6"/>
  <c r="GX78" i="1"/>
  <c r="R77" i="1"/>
  <c r="V121" i="6"/>
  <c r="R30" i="1"/>
  <c r="GK30" i="1" s="1"/>
  <c r="G18" i="1"/>
  <c r="A810" i="6"/>
  <c r="CL559" i="1"/>
  <c r="S764" i="6"/>
  <c r="Q764" i="6"/>
  <c r="CS398" i="1"/>
  <c r="CT354" i="1"/>
  <c r="S354" i="1" s="1"/>
  <c r="J558" i="6" s="1"/>
  <c r="S557" i="6"/>
  <c r="Q557" i="6"/>
  <c r="BZ360" i="1"/>
  <c r="CT270" i="1"/>
  <c r="S270" i="1" s="1"/>
  <c r="S491" i="6"/>
  <c r="Q491" i="6"/>
  <c r="R269" i="1"/>
  <c r="V481" i="6"/>
  <c r="J488" i="6" s="1"/>
  <c r="CT229" i="1"/>
  <c r="S229" i="1" s="1"/>
  <c r="J454" i="6" s="1"/>
  <c r="Q452" i="6"/>
  <c r="S452" i="6"/>
  <c r="S358" i="6"/>
  <c r="Q358" i="6"/>
  <c r="CT218" i="1"/>
  <c r="S218" i="1" s="1"/>
  <c r="J359" i="6" s="1"/>
  <c r="G168" i="1"/>
  <c r="A307" i="6"/>
  <c r="CT172" i="1"/>
  <c r="S172" i="1" s="1"/>
  <c r="J274" i="6" s="1"/>
  <c r="S273" i="6"/>
  <c r="Q273" i="6"/>
  <c r="R171" i="1"/>
  <c r="GK171" i="1" s="1"/>
  <c r="V267" i="6"/>
  <c r="C222" i="6"/>
  <c r="E221" i="6"/>
  <c r="CZ84" i="1"/>
  <c r="Y84" i="1" s="1"/>
  <c r="T150" i="6" s="1"/>
  <c r="J154" i="6" s="1"/>
  <c r="J152" i="6"/>
  <c r="CY84" i="1"/>
  <c r="X84" i="1" s="1"/>
  <c r="R150" i="6" s="1"/>
  <c r="J153" i="6" s="1"/>
  <c r="I156" i="6" s="1"/>
  <c r="CL75" i="1"/>
  <c r="CT39" i="1"/>
  <c r="Q67" i="6"/>
  <c r="S67" i="6"/>
  <c r="CT34" i="1"/>
  <c r="S34" i="1" s="1"/>
  <c r="J69" i="6" s="1"/>
  <c r="Q30" i="1"/>
  <c r="GX29" i="1"/>
  <c r="G559" i="1"/>
  <c r="R521" i="1"/>
  <c r="V764" i="6"/>
  <c r="J771" i="6" s="1"/>
  <c r="CT519" i="1"/>
  <c r="S519" i="1" s="1"/>
  <c r="J745" i="6" s="1"/>
  <c r="Q744" i="6"/>
  <c r="S744" i="6"/>
  <c r="CK209" i="1"/>
  <c r="BB231" i="1"/>
  <c r="AD226" i="1"/>
  <c r="AB226" i="1" s="1"/>
  <c r="U426" i="6"/>
  <c r="CR226" i="1"/>
  <c r="Q226" i="1" s="1"/>
  <c r="CS226" i="1"/>
  <c r="Q397" i="6"/>
  <c r="S397" i="6"/>
  <c r="CT223" i="1"/>
  <c r="S223" i="1" s="1"/>
  <c r="J399" i="6" s="1"/>
  <c r="BC594" i="1"/>
  <c r="BC509" i="1" s="1"/>
  <c r="J766" i="6"/>
  <c r="CR519" i="1"/>
  <c r="Q519" i="1" s="1"/>
  <c r="J746" i="6" s="1"/>
  <c r="U744" i="6"/>
  <c r="CS353" i="1"/>
  <c r="V550" i="6" s="1"/>
  <c r="U550" i="6"/>
  <c r="CR353" i="1"/>
  <c r="CP82" i="1"/>
  <c r="O82" i="1" s="1"/>
  <c r="Q562" i="1"/>
  <c r="AO527" i="1"/>
  <c r="AD519" i="1"/>
  <c r="AB519" i="1" s="1"/>
  <c r="CT409" i="1"/>
  <c r="S409" i="1" s="1"/>
  <c r="J694" i="6" s="1"/>
  <c r="S693" i="6"/>
  <c r="Q693" i="6"/>
  <c r="J402" i="6"/>
  <c r="CT130" i="1"/>
  <c r="S130" i="1" s="1"/>
  <c r="J237" i="6" s="1"/>
  <c r="S235" i="6"/>
  <c r="Q235" i="6"/>
  <c r="U150" i="6"/>
  <c r="CR84" i="1"/>
  <c r="Q84" i="1" s="1"/>
  <c r="R29" i="1"/>
  <c r="GK29" i="1" s="1"/>
  <c r="V42" i="6"/>
  <c r="BZ527" i="1"/>
  <c r="CS409" i="1"/>
  <c r="U693" i="6"/>
  <c r="CB413" i="1"/>
  <c r="AD84" i="1"/>
  <c r="AB84" i="1" s="1"/>
  <c r="AO43" i="1"/>
  <c r="CS35" i="1"/>
  <c r="U74" i="6"/>
  <c r="CR35" i="1"/>
  <c r="Q35" i="1" s="1"/>
  <c r="J76" i="6" s="1"/>
  <c r="W562" i="1"/>
  <c r="CT524" i="1"/>
  <c r="S524" i="1" s="1"/>
  <c r="J782" i="6" s="1"/>
  <c r="S781" i="6"/>
  <c r="Q781" i="6"/>
  <c r="CB527" i="1"/>
  <c r="AS527" i="1" s="1"/>
  <c r="S667" i="6"/>
  <c r="Q667" i="6"/>
  <c r="S654" i="6"/>
  <c r="Q654" i="6"/>
  <c r="CC231" i="1"/>
  <c r="U562" i="1"/>
  <c r="F543" i="1"/>
  <c r="AB524" i="1"/>
  <c r="AD400" i="1"/>
  <c r="U632" i="6"/>
  <c r="C565" i="6"/>
  <c r="E564" i="6"/>
  <c r="P561" i="1"/>
  <c r="AD559" i="1"/>
  <c r="AD521" i="1"/>
  <c r="U764" i="6"/>
  <c r="S700" i="6"/>
  <c r="Q700" i="6"/>
  <c r="CS407" i="1"/>
  <c r="CT403" i="1"/>
  <c r="S403" i="1" s="1"/>
  <c r="J655" i="6" s="1"/>
  <c r="CT401" i="1"/>
  <c r="S401" i="1" s="1"/>
  <c r="S640" i="6"/>
  <c r="Q640" i="6"/>
  <c r="P400" i="1"/>
  <c r="P355" i="1"/>
  <c r="J567" i="6" s="1"/>
  <c r="S544" i="6"/>
  <c r="Q544" i="6"/>
  <c r="CT352" i="1"/>
  <c r="S352" i="1" s="1"/>
  <c r="BC343" i="1"/>
  <c r="S433" i="6"/>
  <c r="Q433" i="6"/>
  <c r="CT227" i="1"/>
  <c r="S227" i="1" s="1"/>
  <c r="W223" i="1"/>
  <c r="AD218" i="1"/>
  <c r="AB218" i="1" s="1"/>
  <c r="U358" i="6"/>
  <c r="CR218" i="1"/>
  <c r="Q218" i="1" s="1"/>
  <c r="J360" i="6" s="1"/>
  <c r="CS218" i="1"/>
  <c r="J340" i="6"/>
  <c r="R211" i="1"/>
  <c r="GK211" i="1" s="1"/>
  <c r="V311" i="6"/>
  <c r="C300" i="6"/>
  <c r="E299" i="6"/>
  <c r="E280" i="6"/>
  <c r="C281" i="6"/>
  <c r="CS133" i="1"/>
  <c r="GX129" i="1"/>
  <c r="P128" i="1"/>
  <c r="P127" i="1"/>
  <c r="C158" i="6"/>
  <c r="E157" i="6"/>
  <c r="CS84" i="1"/>
  <c r="E128" i="6"/>
  <c r="C129" i="6"/>
  <c r="CK75" i="1"/>
  <c r="CT36" i="1"/>
  <c r="S36" i="1" s="1"/>
  <c r="J83" i="6" s="1"/>
  <c r="S82" i="6"/>
  <c r="Q82" i="6"/>
  <c r="AD34" i="1"/>
  <c r="U67" i="6"/>
  <c r="CR34" i="1"/>
  <c r="Q34" i="1" s="1"/>
  <c r="CS34" i="1"/>
  <c r="P31" i="1"/>
  <c r="P30" i="1"/>
  <c r="CP30" i="1" s="1"/>
  <c r="O30" i="1" s="1"/>
  <c r="R400" i="1"/>
  <c r="GK400" i="1" s="1"/>
  <c r="V632" i="6"/>
  <c r="AD82" i="1"/>
  <c r="AB82" i="1" s="1"/>
  <c r="CR82" i="1"/>
  <c r="Q82" i="1" s="1"/>
  <c r="CS82" i="1"/>
  <c r="R82" i="1" s="1"/>
  <c r="GK82" i="1" s="1"/>
  <c r="S464" i="6"/>
  <c r="Q464" i="6"/>
  <c r="CT267" i="1"/>
  <c r="S267" i="1" s="1"/>
  <c r="CS125" i="1"/>
  <c r="U202" i="6"/>
  <c r="CR125" i="1"/>
  <c r="Q125" i="1" s="1"/>
  <c r="J205" i="6" s="1"/>
  <c r="J44" i="6"/>
  <c r="CY29" i="1"/>
  <c r="X29" i="1" s="1"/>
  <c r="R42" i="6" s="1"/>
  <c r="J45" i="6" s="1"/>
  <c r="I48" i="6" s="1"/>
  <c r="P48" i="6" s="1"/>
  <c r="CZ29" i="1"/>
  <c r="Y29" i="1" s="1"/>
  <c r="T42" i="6" s="1"/>
  <c r="J46" i="6" s="1"/>
  <c r="C701" i="6"/>
  <c r="E700" i="6"/>
  <c r="AD405" i="1"/>
  <c r="S518" i="6"/>
  <c r="Q518" i="6"/>
  <c r="CT347" i="1"/>
  <c r="S347" i="1" s="1"/>
  <c r="C43" i="6"/>
  <c r="E42" i="6"/>
  <c r="CT516" i="1"/>
  <c r="S516" i="1" s="1"/>
  <c r="J731" i="6" s="1"/>
  <c r="S730" i="6"/>
  <c r="Q730" i="6"/>
  <c r="CT407" i="1"/>
  <c r="S407" i="1" s="1"/>
  <c r="J678" i="6" s="1"/>
  <c r="S677" i="6"/>
  <c r="Q677" i="6"/>
  <c r="Q625" i="6"/>
  <c r="S625" i="6"/>
  <c r="AD398" i="1"/>
  <c r="AB398" i="1" s="1"/>
  <c r="U618" i="6"/>
  <c r="R394" i="1"/>
  <c r="GK394" i="1" s="1"/>
  <c r="V590" i="6"/>
  <c r="Q444" i="6"/>
  <c r="S444" i="6"/>
  <c r="CT228" i="1"/>
  <c r="S228" i="1" s="1"/>
  <c r="CT78" i="1"/>
  <c r="S78" i="1" s="1"/>
  <c r="AF87" i="1" s="1"/>
  <c r="Q128" i="6"/>
  <c r="S128" i="6"/>
  <c r="CB43" i="1"/>
  <c r="AD523" i="1"/>
  <c r="AB523" i="1" s="1"/>
  <c r="U774" i="6"/>
  <c r="Q754" i="6"/>
  <c r="S754" i="6"/>
  <c r="BZ413" i="1"/>
  <c r="S473" i="6"/>
  <c r="Q473" i="6"/>
  <c r="CT268" i="1"/>
  <c r="S268" i="1" s="1"/>
  <c r="AD228" i="1"/>
  <c r="AB228" i="1" s="1"/>
  <c r="U444" i="6"/>
  <c r="CR228" i="1"/>
  <c r="Q228" i="1" s="1"/>
  <c r="CP228" i="1" s="1"/>
  <c r="O228" i="1" s="1"/>
  <c r="CS228" i="1"/>
  <c r="T562" i="1"/>
  <c r="AE559" i="1"/>
  <c r="CP404" i="1"/>
  <c r="O404" i="1" s="1"/>
  <c r="R355" i="1"/>
  <c r="GK355" i="1" s="1"/>
  <c r="V564" i="6"/>
  <c r="G505" i="1"/>
  <c r="A807" i="6"/>
  <c r="S562" i="1"/>
  <c r="CZ562" i="1" s="1"/>
  <c r="Y562" i="1" s="1"/>
  <c r="CF564" i="1"/>
  <c r="CF559" i="1" s="1"/>
  <c r="AC559" i="1"/>
  <c r="CR523" i="1"/>
  <c r="Q523" i="1" s="1"/>
  <c r="CT520" i="1"/>
  <c r="S520" i="1" s="1"/>
  <c r="J755" i="6" s="1"/>
  <c r="G335" i="1"/>
  <c r="A722" i="6"/>
  <c r="BD413" i="1"/>
  <c r="CM392" i="1"/>
  <c r="U700" i="6"/>
  <c r="CT408" i="1"/>
  <c r="S408" i="1" s="1"/>
  <c r="J688" i="6" s="1"/>
  <c r="S687" i="6"/>
  <c r="Q687" i="6"/>
  <c r="CR407" i="1"/>
  <c r="Q407" i="1" s="1"/>
  <c r="J679" i="6" s="1"/>
  <c r="CS403" i="1"/>
  <c r="CS399" i="1"/>
  <c r="E625" i="6"/>
  <c r="C626" i="6"/>
  <c r="CR394" i="1"/>
  <c r="Q394" i="1" s="1"/>
  <c r="U590" i="6"/>
  <c r="CK392" i="1"/>
  <c r="C573" i="6"/>
  <c r="E572" i="6"/>
  <c r="W355" i="1"/>
  <c r="U544" i="6"/>
  <c r="CR352" i="1"/>
  <c r="Q352" i="1" s="1"/>
  <c r="CS352" i="1"/>
  <c r="BB343" i="1"/>
  <c r="V223" i="1"/>
  <c r="S374" i="6"/>
  <c r="Q374" i="6"/>
  <c r="CT220" i="1"/>
  <c r="S220" i="1" s="1"/>
  <c r="J375" i="6" s="1"/>
  <c r="Q173" i="1"/>
  <c r="J283" i="6" s="1"/>
  <c r="BC136" i="1"/>
  <c r="BC119" i="1" s="1"/>
  <c r="CL119" i="1"/>
  <c r="W127" i="1"/>
  <c r="T123" i="1"/>
  <c r="CZ122" i="1"/>
  <c r="Y122" i="1" s="1"/>
  <c r="T177" i="6" s="1"/>
  <c r="J181" i="6" s="1"/>
  <c r="J179" i="6"/>
  <c r="I183" i="6" s="1"/>
  <c r="R81" i="1"/>
  <c r="GK81" i="1" s="1"/>
  <c r="V142" i="6"/>
  <c r="Q40" i="1"/>
  <c r="U82" i="6"/>
  <c r="CR36" i="1"/>
  <c r="Q36" i="1" s="1"/>
  <c r="J84" i="6" s="1"/>
  <c r="CS36" i="1"/>
  <c r="R410" i="1"/>
  <c r="GK410" i="1" s="1"/>
  <c r="V700" i="6"/>
  <c r="S774" i="6"/>
  <c r="Q774" i="6"/>
  <c r="A117" i="6"/>
  <c r="G26" i="1"/>
  <c r="F568" i="1"/>
  <c r="CT525" i="1"/>
  <c r="S525" i="1" s="1"/>
  <c r="J789" i="6" s="1"/>
  <c r="Q788" i="6"/>
  <c r="S788" i="6"/>
  <c r="CP523" i="1"/>
  <c r="O523" i="1" s="1"/>
  <c r="J776" i="6"/>
  <c r="R520" i="1"/>
  <c r="V754" i="6"/>
  <c r="J761" i="6" s="1"/>
  <c r="CT411" i="1"/>
  <c r="S411" i="1" s="1"/>
  <c r="S708" i="6"/>
  <c r="Q708" i="6"/>
  <c r="CR408" i="1"/>
  <c r="Q408" i="1" s="1"/>
  <c r="U687" i="6"/>
  <c r="CR399" i="1"/>
  <c r="Q399" i="1" s="1"/>
  <c r="CS395" i="1"/>
  <c r="U597" i="6"/>
  <c r="A586" i="6"/>
  <c r="G343" i="1"/>
  <c r="R271" i="1"/>
  <c r="GK271" i="1" s="1"/>
  <c r="V500" i="6"/>
  <c r="U223" i="1"/>
  <c r="K406" i="6" s="1"/>
  <c r="U374" i="6"/>
  <c r="CR220" i="1"/>
  <c r="Q220" i="1" s="1"/>
  <c r="J376" i="6" s="1"/>
  <c r="CS220" i="1"/>
  <c r="AD220" i="1"/>
  <c r="AB220" i="1" s="1"/>
  <c r="CK119" i="1"/>
  <c r="BB136" i="1"/>
  <c r="F149" i="1" s="1"/>
  <c r="C229" i="6"/>
  <c r="E228" i="6"/>
  <c r="GX124" i="1"/>
  <c r="C192" i="6"/>
  <c r="E191" i="6"/>
  <c r="CZ123" i="1"/>
  <c r="Y123" i="1" s="1"/>
  <c r="T184" i="6" s="1"/>
  <c r="J188" i="6" s="1"/>
  <c r="J186" i="6"/>
  <c r="CY123" i="1"/>
  <c r="X123" i="1" s="1"/>
  <c r="R184" i="6" s="1"/>
  <c r="J187" i="6" s="1"/>
  <c r="R122" i="1"/>
  <c r="GK122" i="1" s="1"/>
  <c r="V177" i="6"/>
  <c r="R80" i="1"/>
  <c r="GK80" i="1" s="1"/>
  <c r="BY87" i="1"/>
  <c r="AP87" i="1" s="1"/>
  <c r="F96" i="1" s="1"/>
  <c r="P40" i="1"/>
  <c r="CP40" i="1" s="1"/>
  <c r="O40" i="1" s="1"/>
  <c r="CT33" i="1"/>
  <c r="S33" i="1" s="1"/>
  <c r="J61" i="6" s="1"/>
  <c r="S60" i="6"/>
  <c r="Q60" i="6"/>
  <c r="V30" i="1"/>
  <c r="CT28" i="1"/>
  <c r="S28" i="1" s="1"/>
  <c r="J37" i="6" s="1"/>
  <c r="Q35" i="6"/>
  <c r="S35" i="6"/>
  <c r="G22" i="1"/>
  <c r="A510" i="6"/>
  <c r="CZ221" i="1"/>
  <c r="Y221" i="1" s="1"/>
  <c r="T384" i="6" s="1"/>
  <c r="J388" i="6" s="1"/>
  <c r="J385" i="6"/>
  <c r="I390" i="6" s="1"/>
  <c r="P390" i="6" s="1"/>
  <c r="CY221" i="1"/>
  <c r="X221" i="1" s="1"/>
  <c r="R384" i="6" s="1"/>
  <c r="J387" i="6" s="1"/>
  <c r="G509" i="1"/>
  <c r="CE564" i="1"/>
  <c r="CE559" i="1" s="1"/>
  <c r="BA564" i="1"/>
  <c r="R561" i="1"/>
  <c r="GK561" i="1" s="1"/>
  <c r="CS525" i="1"/>
  <c r="U788" i="6"/>
  <c r="CQ524" i="1"/>
  <c r="P524" i="1" s="1"/>
  <c r="CT521" i="1"/>
  <c r="S521" i="1" s="1"/>
  <c r="CS518" i="1"/>
  <c r="R518" i="1" s="1"/>
  <c r="GK518" i="1" s="1"/>
  <c r="AB410" i="1"/>
  <c r="CT406" i="1"/>
  <c r="S406" i="1" s="1"/>
  <c r="CQ403" i="1"/>
  <c r="P403" i="1" s="1"/>
  <c r="J656" i="6" s="1"/>
  <c r="CS402" i="1"/>
  <c r="CT400" i="1"/>
  <c r="S400" i="1" s="1"/>
  <c r="J634" i="6" s="1"/>
  <c r="E632" i="6"/>
  <c r="C633" i="6"/>
  <c r="GX355" i="1"/>
  <c r="CL209" i="1"/>
  <c r="BC231" i="1"/>
  <c r="BC209" i="1" s="1"/>
  <c r="S426" i="6"/>
  <c r="Q426" i="6"/>
  <c r="CT226" i="1"/>
  <c r="S226" i="1" s="1"/>
  <c r="J427" i="6" s="1"/>
  <c r="R123" i="1"/>
  <c r="GK123" i="1" s="1"/>
  <c r="V184" i="6"/>
  <c r="C185" i="6"/>
  <c r="E184" i="6"/>
  <c r="V85" i="1"/>
  <c r="W40" i="1"/>
  <c r="J93" i="6"/>
  <c r="CY37" i="1"/>
  <c r="X37" i="1" s="1"/>
  <c r="R91" i="6" s="1"/>
  <c r="J94" i="6" s="1"/>
  <c r="CZ37" i="1"/>
  <c r="Y37" i="1" s="1"/>
  <c r="T91" i="6" s="1"/>
  <c r="J95" i="6" s="1"/>
  <c r="U60" i="6"/>
  <c r="CR33" i="1"/>
  <c r="Q33" i="1" s="1"/>
  <c r="CP33" i="1" s="1"/>
  <c r="O33" i="1" s="1"/>
  <c r="CS33" i="1"/>
  <c r="U29" i="1"/>
  <c r="K47" i="6" s="1"/>
  <c r="CT357" i="1"/>
  <c r="S357" i="1" s="1"/>
  <c r="Q579" i="6"/>
  <c r="S579" i="6"/>
  <c r="S572" i="6"/>
  <c r="Q572" i="6"/>
  <c r="CC273" i="1"/>
  <c r="CB273" i="1"/>
  <c r="CL263" i="1"/>
  <c r="GX229" i="1"/>
  <c r="C453" i="6"/>
  <c r="E452" i="6"/>
  <c r="S408" i="6"/>
  <c r="Q408" i="6"/>
  <c r="U397" i="6"/>
  <c r="CT222" i="1"/>
  <c r="S222" i="1" s="1"/>
  <c r="Q391" i="6"/>
  <c r="S391" i="6"/>
  <c r="S384" i="6"/>
  <c r="Q384" i="6"/>
  <c r="AD214" i="1"/>
  <c r="U329" i="6"/>
  <c r="S323" i="6"/>
  <c r="Q323" i="6"/>
  <c r="BZ231" i="1"/>
  <c r="S175" i="1"/>
  <c r="J301" i="6" s="1"/>
  <c r="Q261" i="6"/>
  <c r="S261" i="6"/>
  <c r="V129" i="1"/>
  <c r="AD124" i="1"/>
  <c r="U191" i="6"/>
  <c r="Q123" i="1"/>
  <c r="E177" i="6"/>
  <c r="C178" i="6"/>
  <c r="E142" i="6"/>
  <c r="C143" i="6"/>
  <c r="U128" i="6"/>
  <c r="CT38" i="1"/>
  <c r="S38" i="1" s="1"/>
  <c r="J100" i="6" s="1"/>
  <c r="S98" i="6"/>
  <c r="Q98" i="6"/>
  <c r="U30" i="1"/>
  <c r="U572" i="6"/>
  <c r="AB348" i="1"/>
  <c r="GX268" i="1"/>
  <c r="E473" i="6"/>
  <c r="C474" i="6"/>
  <c r="CK263" i="1"/>
  <c r="V229" i="1"/>
  <c r="AI231" i="1" s="1"/>
  <c r="AD227" i="1"/>
  <c r="AB227" i="1" s="1"/>
  <c r="CT225" i="1"/>
  <c r="S419" i="6"/>
  <c r="Q419" i="6"/>
  <c r="AD224" i="1"/>
  <c r="AB224" i="1" s="1"/>
  <c r="U408" i="6"/>
  <c r="AD223" i="1"/>
  <c r="AD222" i="1"/>
  <c r="U391" i="6"/>
  <c r="Q336" i="6"/>
  <c r="S336" i="6"/>
  <c r="AB214" i="1"/>
  <c r="AD213" i="1"/>
  <c r="U323" i="6"/>
  <c r="S311" i="6"/>
  <c r="Q311" i="6"/>
  <c r="G209" i="1"/>
  <c r="CT174" i="1"/>
  <c r="S174" i="1" s="1"/>
  <c r="S291" i="6"/>
  <c r="Q291" i="6"/>
  <c r="S280" i="6"/>
  <c r="Q280" i="6"/>
  <c r="G119" i="1"/>
  <c r="A257" i="6"/>
  <c r="U129" i="1"/>
  <c r="CT128" i="1"/>
  <c r="S228" i="6"/>
  <c r="Q228" i="6"/>
  <c r="C214" i="6"/>
  <c r="E213" i="6"/>
  <c r="AB125" i="1"/>
  <c r="AB124" i="1"/>
  <c r="GX122" i="1"/>
  <c r="CT85" i="1"/>
  <c r="S85" i="1" s="1"/>
  <c r="J159" i="6" s="1"/>
  <c r="S157" i="6"/>
  <c r="Q157" i="6"/>
  <c r="C151" i="6"/>
  <c r="E150" i="6"/>
  <c r="U81" i="1"/>
  <c r="K148" i="6" s="1"/>
  <c r="CP79" i="1"/>
  <c r="O79" i="1" s="1"/>
  <c r="GM79" i="1" s="1"/>
  <c r="AD78" i="1"/>
  <c r="E121" i="6"/>
  <c r="C122" i="6"/>
  <c r="S91" i="6"/>
  <c r="Q91" i="6"/>
  <c r="C50" i="6"/>
  <c r="E49" i="6"/>
  <c r="S564" i="6"/>
  <c r="Q564" i="6"/>
  <c r="CT349" i="1"/>
  <c r="S349" i="1" s="1"/>
  <c r="CY349" i="1" s="1"/>
  <c r="X349" i="1" s="1"/>
  <c r="R525" i="6" s="1"/>
  <c r="J530" i="6" s="1"/>
  <c r="S525" i="6"/>
  <c r="Q525" i="6"/>
  <c r="U229" i="1"/>
  <c r="K457" i="6" s="1"/>
  <c r="J438" i="6"/>
  <c r="CT216" i="1"/>
  <c r="S216" i="1" s="1"/>
  <c r="S346" i="6"/>
  <c r="Q346" i="6"/>
  <c r="AD211" i="1"/>
  <c r="U311" i="6"/>
  <c r="U280" i="6"/>
  <c r="AD170" i="1"/>
  <c r="AB170" i="1" s="1"/>
  <c r="T129" i="1"/>
  <c r="U228" i="6"/>
  <c r="S221" i="6"/>
  <c r="Q221" i="6"/>
  <c r="T121" i="1"/>
  <c r="CR85" i="1"/>
  <c r="Q85" i="1" s="1"/>
  <c r="U157" i="6"/>
  <c r="GX81" i="1"/>
  <c r="CJ87" i="1" s="1"/>
  <c r="T81" i="1"/>
  <c r="P78" i="1"/>
  <c r="CP78" i="1" s="1"/>
  <c r="O78" i="1" s="1"/>
  <c r="GX32" i="1"/>
  <c r="S42" i="6"/>
  <c r="Q42" i="6"/>
  <c r="C36" i="6"/>
  <c r="E35" i="6"/>
  <c r="V399" i="1"/>
  <c r="AI413" i="1" s="1"/>
  <c r="BY360" i="1"/>
  <c r="CI360" i="1" s="1"/>
  <c r="CT356" i="1"/>
  <c r="S356" i="1" s="1"/>
  <c r="J574" i="6" s="1"/>
  <c r="AB356" i="1"/>
  <c r="CR355" i="1"/>
  <c r="Q355" i="1" s="1"/>
  <c r="U564" i="6"/>
  <c r="S500" i="6"/>
  <c r="Q500" i="6"/>
  <c r="S481" i="6"/>
  <c r="Q481" i="6"/>
  <c r="E444" i="6"/>
  <c r="C445" i="6"/>
  <c r="P225" i="1"/>
  <c r="AB223" i="1"/>
  <c r="S352" i="6"/>
  <c r="Q352" i="6"/>
  <c r="AD215" i="1"/>
  <c r="CT212" i="1"/>
  <c r="S212" i="1" s="1"/>
  <c r="J318" i="6" s="1"/>
  <c r="S317" i="6"/>
  <c r="Q317" i="6"/>
  <c r="BY177" i="1"/>
  <c r="AP177" i="1" s="1"/>
  <c r="U221" i="6"/>
  <c r="S213" i="6"/>
  <c r="Q213" i="6"/>
  <c r="CT121" i="1"/>
  <c r="S121" i="1" s="1"/>
  <c r="J172" i="6" s="1"/>
  <c r="Q170" i="6"/>
  <c r="S170" i="6"/>
  <c r="CC87" i="1"/>
  <c r="AT87" i="1" s="1"/>
  <c r="S142" i="6"/>
  <c r="Q142" i="6"/>
  <c r="AB78" i="1"/>
  <c r="S107" i="6"/>
  <c r="Q107" i="6"/>
  <c r="AB40" i="1"/>
  <c r="E67" i="6"/>
  <c r="C68" i="6"/>
  <c r="CR29" i="1"/>
  <c r="Q29" i="1" s="1"/>
  <c r="U42" i="6"/>
  <c r="U399" i="1"/>
  <c r="K630" i="6" s="1"/>
  <c r="CT397" i="1"/>
  <c r="S397" i="1" s="1"/>
  <c r="S611" i="6"/>
  <c r="Q611" i="6"/>
  <c r="CS356" i="1"/>
  <c r="AD355" i="1"/>
  <c r="AB355" i="1" s="1"/>
  <c r="C519" i="6"/>
  <c r="E518" i="6"/>
  <c r="AD271" i="1"/>
  <c r="AB271" i="1" s="1"/>
  <c r="U500" i="6"/>
  <c r="AD269" i="1"/>
  <c r="AB269" i="1" s="1"/>
  <c r="U481" i="6"/>
  <c r="G263" i="1"/>
  <c r="W229" i="1"/>
  <c r="C434" i="6"/>
  <c r="E433" i="6"/>
  <c r="CS223" i="1"/>
  <c r="AD217" i="1"/>
  <c r="AB217" i="1" s="1"/>
  <c r="U352" i="6"/>
  <c r="AB215" i="1"/>
  <c r="CS214" i="1"/>
  <c r="CR212" i="1"/>
  <c r="Q212" i="1" s="1"/>
  <c r="U317" i="6"/>
  <c r="CT171" i="1"/>
  <c r="S171" i="1" s="1"/>
  <c r="J268" i="6" s="1"/>
  <c r="S267" i="6"/>
  <c r="Q267" i="6"/>
  <c r="CT170" i="1"/>
  <c r="S170" i="1" s="1"/>
  <c r="J262" i="6" s="1"/>
  <c r="CS131" i="1"/>
  <c r="R131" i="1" s="1"/>
  <c r="GK131" i="1" s="1"/>
  <c r="AD127" i="1"/>
  <c r="AB127" i="1" s="1"/>
  <c r="CS126" i="1"/>
  <c r="U213" i="6"/>
  <c r="CS124" i="1"/>
  <c r="U170" i="6"/>
  <c r="BZ87" i="1"/>
  <c r="U142" i="6"/>
  <c r="Q121" i="6"/>
  <c r="S121" i="6"/>
  <c r="CR41" i="1"/>
  <c r="Q41" i="1" s="1"/>
  <c r="J109" i="6" s="1"/>
  <c r="I115" i="6" s="1"/>
  <c r="U107" i="6"/>
  <c r="CT32" i="1"/>
  <c r="S32" i="1" s="1"/>
  <c r="J51" i="6" s="1"/>
  <c r="S49" i="6"/>
  <c r="Q49" i="6"/>
  <c r="BY43" i="1"/>
  <c r="AP43" i="1" s="1"/>
  <c r="AP26" i="1" s="1"/>
  <c r="S618" i="6"/>
  <c r="Q618" i="6"/>
  <c r="CT395" i="1"/>
  <c r="S395" i="1" s="1"/>
  <c r="J598" i="6" s="1"/>
  <c r="S597" i="6"/>
  <c r="Q597" i="6"/>
  <c r="S590" i="6"/>
  <c r="Q590" i="6"/>
  <c r="CR356" i="1"/>
  <c r="Q356" i="1" s="1"/>
  <c r="CP356" i="1" s="1"/>
  <c r="O356" i="1" s="1"/>
  <c r="S537" i="6"/>
  <c r="Q537" i="6"/>
  <c r="CS345" i="1"/>
  <c r="R345" i="1" s="1"/>
  <c r="GK345" i="1" s="1"/>
  <c r="CS227" i="1"/>
  <c r="C420" i="6"/>
  <c r="E419" i="6"/>
  <c r="CT224" i="1"/>
  <c r="S224" i="1" s="1"/>
  <c r="J410" i="6" s="1"/>
  <c r="E408" i="6"/>
  <c r="C409" i="6"/>
  <c r="CR223" i="1"/>
  <c r="Q223" i="1" s="1"/>
  <c r="J400" i="6" s="1"/>
  <c r="CS222" i="1"/>
  <c r="CT215" i="1"/>
  <c r="S215" i="1" s="1"/>
  <c r="J337" i="6" s="1"/>
  <c r="CR214" i="1"/>
  <c r="Q214" i="1" s="1"/>
  <c r="CT213" i="1"/>
  <c r="S213" i="1" s="1"/>
  <c r="J324" i="6" s="1"/>
  <c r="Q299" i="6"/>
  <c r="S299" i="6"/>
  <c r="CT173" i="1"/>
  <c r="S173" i="1" s="1"/>
  <c r="J282" i="6" s="1"/>
  <c r="AD171" i="1"/>
  <c r="U267" i="6"/>
  <c r="CS170" i="1"/>
  <c r="CR131" i="1"/>
  <c r="Q131" i="1" s="1"/>
  <c r="CP131" i="1" s="1"/>
  <c r="O131" i="1" s="1"/>
  <c r="AD129" i="1"/>
  <c r="AB129" i="1" s="1"/>
  <c r="AD126" i="1"/>
  <c r="E202" i="6"/>
  <c r="C203" i="6"/>
  <c r="CR124" i="1"/>
  <c r="Q124" i="1" s="1"/>
  <c r="J194" i="6" s="1"/>
  <c r="S184" i="6"/>
  <c r="Q184" i="6"/>
  <c r="S177" i="6"/>
  <c r="Q177" i="6"/>
  <c r="G75" i="1"/>
  <c r="A166" i="6"/>
  <c r="AD81" i="1"/>
  <c r="AB81" i="1" s="1"/>
  <c r="CT80" i="1"/>
  <c r="S80" i="1" s="1"/>
  <c r="CP80" i="1" s="1"/>
  <c r="O80" i="1" s="1"/>
  <c r="Q135" i="6"/>
  <c r="S135" i="6"/>
  <c r="CS78" i="1"/>
  <c r="AD77" i="1"/>
  <c r="AB77" i="1" s="1"/>
  <c r="U121" i="6"/>
  <c r="C92" i="6"/>
  <c r="E91" i="6"/>
  <c r="CS32" i="1"/>
  <c r="U49" i="6"/>
  <c r="T355" i="1"/>
  <c r="U353" i="1"/>
  <c r="K555" i="6" s="1"/>
  <c r="U537" i="6"/>
  <c r="CS348" i="1"/>
  <c r="R348" i="1" s="1"/>
  <c r="GK348" i="1" s="1"/>
  <c r="CR345" i="1"/>
  <c r="Q345" i="1" s="1"/>
  <c r="CP345" i="1" s="1"/>
  <c r="O345" i="1" s="1"/>
  <c r="GP345" i="1" s="1"/>
  <c r="CR227" i="1"/>
  <c r="Q227" i="1" s="1"/>
  <c r="J436" i="6" s="1"/>
  <c r="CS224" i="1"/>
  <c r="CR222" i="1"/>
  <c r="Q222" i="1" s="1"/>
  <c r="CS215" i="1"/>
  <c r="CQ214" i="1"/>
  <c r="P214" i="1" s="1"/>
  <c r="J331" i="6" s="1"/>
  <c r="CS213" i="1"/>
  <c r="CT211" i="1"/>
  <c r="S211" i="1" s="1"/>
  <c r="J312" i="6" s="1"/>
  <c r="U299" i="6"/>
  <c r="C292" i="6"/>
  <c r="E291" i="6"/>
  <c r="CS173" i="1"/>
  <c r="CR170" i="1"/>
  <c r="Q170" i="1" s="1"/>
  <c r="S243" i="6"/>
  <c r="Q243" i="6"/>
  <c r="T130" i="1"/>
  <c r="S127" i="1"/>
  <c r="J223" i="6" s="1"/>
  <c r="W123" i="1"/>
  <c r="U184" i="6"/>
  <c r="AD122" i="1"/>
  <c r="U177" i="6"/>
  <c r="Q150" i="6"/>
  <c r="S150" i="6"/>
  <c r="AD80" i="1"/>
  <c r="U135" i="6"/>
  <c r="CR78" i="1"/>
  <c r="Q78" i="1" s="1"/>
  <c r="CS40" i="1"/>
  <c r="R40" i="1" s="1"/>
  <c r="GK40" i="1" s="1"/>
  <c r="I39" i="1"/>
  <c r="E102" i="6" s="1"/>
  <c r="C99" i="6"/>
  <c r="E98" i="6"/>
  <c r="K127" i="6"/>
  <c r="T527" i="1"/>
  <c r="AG513" i="1"/>
  <c r="F566" i="1"/>
  <c r="O559" i="1"/>
  <c r="CC513" i="1"/>
  <c r="AT527" i="1"/>
  <c r="CP405" i="1"/>
  <c r="O405" i="1" s="1"/>
  <c r="AS413" i="1"/>
  <c r="CB392" i="1"/>
  <c r="CJ413" i="1"/>
  <c r="BZ392" i="1"/>
  <c r="AQ413" i="1"/>
  <c r="CY516" i="1"/>
  <c r="X516" i="1" s="1"/>
  <c r="R730" i="6" s="1"/>
  <c r="J733" i="6" s="1"/>
  <c r="CZ516" i="1"/>
  <c r="Y516" i="1" s="1"/>
  <c r="T730" i="6" s="1"/>
  <c r="J734" i="6" s="1"/>
  <c r="CP403" i="1"/>
  <c r="O403" i="1" s="1"/>
  <c r="CP515" i="1"/>
  <c r="O515" i="1" s="1"/>
  <c r="BC392" i="1"/>
  <c r="F429" i="1"/>
  <c r="CY408" i="1"/>
  <c r="X408" i="1" s="1"/>
  <c r="R687" i="6" s="1"/>
  <c r="J689" i="6" s="1"/>
  <c r="CZ408" i="1"/>
  <c r="Y408" i="1" s="1"/>
  <c r="T687" i="6" s="1"/>
  <c r="J690" i="6" s="1"/>
  <c r="BY392" i="1"/>
  <c r="CI413" i="1"/>
  <c r="AP413" i="1"/>
  <c r="CY409" i="1"/>
  <c r="X409" i="1" s="1"/>
  <c r="R693" i="6" s="1"/>
  <c r="J696" i="6" s="1"/>
  <c r="CZ409" i="1"/>
  <c r="Y409" i="1" s="1"/>
  <c r="T693" i="6" s="1"/>
  <c r="J697" i="6" s="1"/>
  <c r="CY522" i="1"/>
  <c r="X522" i="1" s="1"/>
  <c r="CZ522" i="1"/>
  <c r="Y522" i="1" s="1"/>
  <c r="F438" i="1"/>
  <c r="BD443" i="1"/>
  <c r="BD392" i="1"/>
  <c r="CP561" i="1"/>
  <c r="O561" i="1" s="1"/>
  <c r="CP408" i="1"/>
  <c r="O408" i="1" s="1"/>
  <c r="CY407" i="1"/>
  <c r="X407" i="1" s="1"/>
  <c r="CZ407" i="1"/>
  <c r="Y407" i="1" s="1"/>
  <c r="T677" i="6" s="1"/>
  <c r="J683" i="6" s="1"/>
  <c r="AV564" i="1"/>
  <c r="CY515" i="1"/>
  <c r="X515" i="1" s="1"/>
  <c r="CZ515" i="1"/>
  <c r="Y515" i="1" s="1"/>
  <c r="AH413" i="1"/>
  <c r="CY410" i="1"/>
  <c r="X410" i="1" s="1"/>
  <c r="R700" i="6" s="1"/>
  <c r="J704" i="6" s="1"/>
  <c r="CZ410" i="1"/>
  <c r="Y410" i="1" s="1"/>
  <c r="T700" i="6" s="1"/>
  <c r="J705" i="6" s="1"/>
  <c r="CY358" i="1"/>
  <c r="X358" i="1" s="1"/>
  <c r="CZ358" i="1"/>
  <c r="Y358" i="1" s="1"/>
  <c r="BD559" i="1"/>
  <c r="F589" i="1"/>
  <c r="CJ527" i="1"/>
  <c r="CY520" i="1"/>
  <c r="X520" i="1" s="1"/>
  <c r="R754" i="6" s="1"/>
  <c r="J759" i="6" s="1"/>
  <c r="CZ520" i="1"/>
  <c r="Y520" i="1" s="1"/>
  <c r="T754" i="6" s="1"/>
  <c r="J760" i="6" s="1"/>
  <c r="CY525" i="1"/>
  <c r="X525" i="1" s="1"/>
  <c r="R788" i="6" s="1"/>
  <c r="J791" i="6" s="1"/>
  <c r="CI527" i="1"/>
  <c r="CP519" i="1"/>
  <c r="O519" i="1" s="1"/>
  <c r="AJ527" i="1"/>
  <c r="CY398" i="1"/>
  <c r="X398" i="1" s="1"/>
  <c r="R618" i="6" s="1"/>
  <c r="J621" i="6" s="1"/>
  <c r="CZ398" i="1"/>
  <c r="Y398" i="1" s="1"/>
  <c r="AG413" i="1"/>
  <c r="CY348" i="1"/>
  <c r="X348" i="1" s="1"/>
  <c r="CZ348" i="1"/>
  <c r="Y348" i="1" s="1"/>
  <c r="BZ343" i="1"/>
  <c r="AQ360" i="1"/>
  <c r="AI527" i="1"/>
  <c r="CZ561" i="1"/>
  <c r="Y561" i="1" s="1"/>
  <c r="CY561" i="1"/>
  <c r="X561" i="1" s="1"/>
  <c r="CP516" i="1"/>
  <c r="O516" i="1" s="1"/>
  <c r="F583" i="1"/>
  <c r="AU559" i="1"/>
  <c r="CY523" i="1"/>
  <c r="X523" i="1" s="1"/>
  <c r="CZ523" i="1"/>
  <c r="Y523" i="1" s="1"/>
  <c r="T774" i="6" s="1"/>
  <c r="J778" i="6" s="1"/>
  <c r="AQ527" i="1"/>
  <c r="CG527" i="1"/>
  <c r="BZ513" i="1"/>
  <c r="CP525" i="1"/>
  <c r="O525" i="1" s="1"/>
  <c r="CZ524" i="1"/>
  <c r="Y524" i="1" s="1"/>
  <c r="T781" i="6" s="1"/>
  <c r="J785" i="6" s="1"/>
  <c r="AB521" i="1"/>
  <c r="AH527" i="1"/>
  <c r="AT564" i="1"/>
  <c r="BD527" i="1"/>
  <c r="AB520" i="1"/>
  <c r="CY518" i="1"/>
  <c r="X518" i="1" s="1"/>
  <c r="CZ518" i="1"/>
  <c r="Y518" i="1" s="1"/>
  <c r="CR411" i="1"/>
  <c r="Q411" i="1" s="1"/>
  <c r="CP411" i="1" s="1"/>
  <c r="O411" i="1" s="1"/>
  <c r="CS411" i="1"/>
  <c r="BB392" i="1"/>
  <c r="CY354" i="1"/>
  <c r="X354" i="1" s="1"/>
  <c r="R557" i="6" s="1"/>
  <c r="J560" i="6" s="1"/>
  <c r="CZ354" i="1"/>
  <c r="Y354" i="1" s="1"/>
  <c r="T557" i="6" s="1"/>
  <c r="J561" i="6" s="1"/>
  <c r="CR347" i="1"/>
  <c r="Q347" i="1" s="1"/>
  <c r="CS347" i="1"/>
  <c r="F588" i="1"/>
  <c r="CD559" i="1"/>
  <c r="AD411" i="1"/>
  <c r="AB411" i="1" s="1"/>
  <c r="AD406" i="1"/>
  <c r="AB406" i="1" s="1"/>
  <c r="AB405" i="1"/>
  <c r="GM404" i="1"/>
  <c r="GP404" i="1"/>
  <c r="CR354" i="1"/>
  <c r="Q354" i="1" s="1"/>
  <c r="CS354" i="1"/>
  <c r="CR351" i="1"/>
  <c r="Q351" i="1" s="1"/>
  <c r="CS351" i="1"/>
  <c r="AD351" i="1"/>
  <c r="AD347" i="1"/>
  <c r="AR564" i="1"/>
  <c r="BB527" i="1"/>
  <c r="AD525" i="1"/>
  <c r="AB525" i="1" s="1"/>
  <c r="AD516" i="1"/>
  <c r="AB516" i="1" s="1"/>
  <c r="AB404" i="1"/>
  <c r="CP355" i="1"/>
  <c r="O355" i="1" s="1"/>
  <c r="AD354" i="1"/>
  <c r="Q353" i="1"/>
  <c r="CR522" i="1"/>
  <c r="Q522" i="1" s="1"/>
  <c r="CP522" i="1" s="1"/>
  <c r="O522" i="1" s="1"/>
  <c r="CS522" i="1"/>
  <c r="R522" i="1" s="1"/>
  <c r="GK522" i="1" s="1"/>
  <c r="AD409" i="1"/>
  <c r="AB409" i="1" s="1"/>
  <c r="AD408" i="1"/>
  <c r="AB408" i="1" s="1"/>
  <c r="CL392" i="1"/>
  <c r="AO343" i="1"/>
  <c r="F364" i="1"/>
  <c r="AD358" i="1"/>
  <c r="CR358" i="1"/>
  <c r="Q358" i="1" s="1"/>
  <c r="CP358" i="1" s="1"/>
  <c r="O358" i="1" s="1"/>
  <c r="CS358" i="1"/>
  <c r="R358" i="1" s="1"/>
  <c r="GK358" i="1" s="1"/>
  <c r="CY266" i="1"/>
  <c r="X266" i="1" s="1"/>
  <c r="CZ266" i="1"/>
  <c r="Y266" i="1" s="1"/>
  <c r="BB473" i="1"/>
  <c r="CY402" i="1"/>
  <c r="X402" i="1" s="1"/>
  <c r="R647" i="6" s="1"/>
  <c r="J650" i="6" s="1"/>
  <c r="I653" i="6" s="1"/>
  <c r="CZ402" i="1"/>
  <c r="Y402" i="1" s="1"/>
  <c r="T647" i="6" s="1"/>
  <c r="J651" i="6" s="1"/>
  <c r="AB400" i="1"/>
  <c r="CQ396" i="1"/>
  <c r="P396" i="1" s="1"/>
  <c r="AC413" i="1" s="1"/>
  <c r="AB396" i="1"/>
  <c r="AB561" i="1"/>
  <c r="BX559" i="1"/>
  <c r="AQ559" i="1"/>
  <c r="AB515" i="1"/>
  <c r="F447" i="1"/>
  <c r="AO339" i="1"/>
  <c r="CS401" i="1"/>
  <c r="CR401" i="1"/>
  <c r="Q401" i="1" s="1"/>
  <c r="CC413" i="1"/>
  <c r="AB358" i="1"/>
  <c r="CQ520" i="1"/>
  <c r="P520" i="1" s="1"/>
  <c r="AC527" i="1" s="1"/>
  <c r="BC513" i="1"/>
  <c r="GX353" i="1"/>
  <c r="CJ360" i="1" s="1"/>
  <c r="CY346" i="1"/>
  <c r="X346" i="1" s="1"/>
  <c r="CZ346" i="1"/>
  <c r="Y346" i="1" s="1"/>
  <c r="F581" i="1"/>
  <c r="BB564" i="1"/>
  <c r="CM559" i="1"/>
  <c r="X559" i="1"/>
  <c r="CS516" i="1"/>
  <c r="AD394" i="1"/>
  <c r="AB394" i="1" s="1"/>
  <c r="CP352" i="1"/>
  <c r="O352" i="1" s="1"/>
  <c r="CS346" i="1"/>
  <c r="R346" i="1" s="1"/>
  <c r="GK346" i="1" s="1"/>
  <c r="CR346" i="1"/>
  <c r="Q346" i="1" s="1"/>
  <c r="CP266" i="1"/>
  <c r="O266" i="1" s="1"/>
  <c r="CR525" i="1"/>
  <c r="Q525" i="1" s="1"/>
  <c r="AD527" i="1" s="1"/>
  <c r="CS406" i="1"/>
  <c r="CY399" i="1"/>
  <c r="X399" i="1" s="1"/>
  <c r="CZ399" i="1"/>
  <c r="Y399" i="1" s="1"/>
  <c r="T625" i="6" s="1"/>
  <c r="J629" i="6" s="1"/>
  <c r="CP394" i="1"/>
  <c r="O394" i="1" s="1"/>
  <c r="S351" i="1"/>
  <c r="J538" i="6" s="1"/>
  <c r="CY269" i="1"/>
  <c r="X269" i="1" s="1"/>
  <c r="R481" i="6" s="1"/>
  <c r="J486" i="6" s="1"/>
  <c r="I490" i="6" s="1"/>
  <c r="CZ269" i="1"/>
  <c r="Y269" i="1" s="1"/>
  <c r="T481" i="6" s="1"/>
  <c r="J487" i="6" s="1"/>
  <c r="CP269" i="1"/>
  <c r="O269" i="1" s="1"/>
  <c r="AP559" i="1"/>
  <c r="CQ410" i="1"/>
  <c r="P410" i="1" s="1"/>
  <c r="CY400" i="1"/>
  <c r="X400" i="1" s="1"/>
  <c r="CZ400" i="1"/>
  <c r="Y400" i="1" s="1"/>
  <c r="T632" i="6" s="1"/>
  <c r="J637" i="6" s="1"/>
  <c r="CZ394" i="1"/>
  <c r="Y394" i="1" s="1"/>
  <c r="T590" i="6" s="1"/>
  <c r="J594" i="6" s="1"/>
  <c r="CP346" i="1"/>
  <c r="O346" i="1" s="1"/>
  <c r="Y559" i="1"/>
  <c r="CI564" i="1"/>
  <c r="BC559" i="1"/>
  <c r="CS519" i="1"/>
  <c r="F426" i="1"/>
  <c r="CR409" i="1"/>
  <c r="Q409" i="1" s="1"/>
  <c r="CR397" i="1"/>
  <c r="Q397" i="1" s="1"/>
  <c r="CS397" i="1"/>
  <c r="CY394" i="1"/>
  <c r="X394" i="1" s="1"/>
  <c r="R590" i="6" s="1"/>
  <c r="J593" i="6" s="1"/>
  <c r="I596" i="6" s="1"/>
  <c r="CY345" i="1"/>
  <c r="X345" i="1" s="1"/>
  <c r="CZ345" i="1"/>
  <c r="Y345" i="1" s="1"/>
  <c r="CZ223" i="1"/>
  <c r="Y223" i="1" s="1"/>
  <c r="F578" i="1"/>
  <c r="F576" i="1"/>
  <c r="CH564" i="1"/>
  <c r="AF559" i="1"/>
  <c r="S564" i="1"/>
  <c r="AD517" i="1"/>
  <c r="AB517" i="1" s="1"/>
  <c r="CS515" i="1"/>
  <c r="R515" i="1" s="1"/>
  <c r="GK515" i="1" s="1"/>
  <c r="AO473" i="1"/>
  <c r="BX392" i="1"/>
  <c r="CG413" i="1"/>
  <c r="CQ409" i="1"/>
  <c r="P409" i="1" s="1"/>
  <c r="CS408" i="1"/>
  <c r="AD397" i="1"/>
  <c r="AB397" i="1" s="1"/>
  <c r="CS357" i="1"/>
  <c r="CR357" i="1"/>
  <c r="Q357" i="1" s="1"/>
  <c r="CP357" i="1" s="1"/>
  <c r="O357" i="1" s="1"/>
  <c r="W354" i="1"/>
  <c r="W351" i="1"/>
  <c r="AJ360" i="1" s="1"/>
  <c r="AB345" i="1"/>
  <c r="CR268" i="1"/>
  <c r="Q268" i="1" s="1"/>
  <c r="CS268" i="1"/>
  <c r="CG564" i="1"/>
  <c r="CR515" i="1"/>
  <c r="Q515" i="1" s="1"/>
  <c r="CP397" i="1"/>
  <c r="O397" i="1" s="1"/>
  <c r="AJ413" i="1"/>
  <c r="CZ355" i="1"/>
  <c r="Y355" i="1" s="1"/>
  <c r="T564" i="6" s="1"/>
  <c r="J569" i="6" s="1"/>
  <c r="V354" i="1"/>
  <c r="V351" i="1"/>
  <c r="AI360" i="1" s="1"/>
  <c r="CB263" i="1"/>
  <c r="AS273" i="1"/>
  <c r="BY559" i="1"/>
  <c r="CZ517" i="1"/>
  <c r="Y517" i="1" s="1"/>
  <c r="CP402" i="1"/>
  <c r="O402" i="1" s="1"/>
  <c r="CY401" i="1"/>
  <c r="X401" i="1" s="1"/>
  <c r="R640" i="6" s="1"/>
  <c r="J643" i="6" s="1"/>
  <c r="CZ395" i="1"/>
  <c r="Y395" i="1" s="1"/>
  <c r="T597" i="6" s="1"/>
  <c r="J601" i="6" s="1"/>
  <c r="BC443" i="1"/>
  <c r="U354" i="1"/>
  <c r="K562" i="6" s="1"/>
  <c r="W353" i="1"/>
  <c r="U351" i="1"/>
  <c r="CC263" i="1"/>
  <c r="AT273" i="1"/>
  <c r="AB559" i="1"/>
  <c r="AD522" i="1"/>
  <c r="AB522" i="1" s="1"/>
  <c r="F417" i="1"/>
  <c r="AB402" i="1"/>
  <c r="AB357" i="1"/>
  <c r="CY356" i="1"/>
  <c r="X356" i="1" s="1"/>
  <c r="T354" i="1"/>
  <c r="T351" i="1"/>
  <c r="CP348" i="1"/>
  <c r="O348" i="1" s="1"/>
  <c r="CP226" i="1"/>
  <c r="O226" i="1" s="1"/>
  <c r="CJ168" i="1"/>
  <c r="BA177" i="1"/>
  <c r="CY226" i="1"/>
  <c r="X226" i="1" s="1"/>
  <c r="R426" i="6" s="1"/>
  <c r="J429" i="6" s="1"/>
  <c r="CZ226" i="1"/>
  <c r="Y226" i="1" s="1"/>
  <c r="T426" i="6" s="1"/>
  <c r="J430" i="6" s="1"/>
  <c r="CZ220" i="1"/>
  <c r="Y220" i="1" s="1"/>
  <c r="T374" i="6" s="1"/>
  <c r="J380" i="6" s="1"/>
  <c r="CP217" i="1"/>
  <c r="O217" i="1" s="1"/>
  <c r="CY175" i="1"/>
  <c r="X175" i="1" s="1"/>
  <c r="R299" i="6" s="1"/>
  <c r="J302" i="6" s="1"/>
  <c r="CZ175" i="1"/>
  <c r="Y175" i="1" s="1"/>
  <c r="T299" i="6" s="1"/>
  <c r="J303" i="6" s="1"/>
  <c r="AG177" i="1"/>
  <c r="AG136" i="1"/>
  <c r="CY213" i="1"/>
  <c r="X213" i="1" s="1"/>
  <c r="R323" i="6" s="1"/>
  <c r="J325" i="6" s="1"/>
  <c r="AT231" i="1"/>
  <c r="CC209" i="1"/>
  <c r="CP222" i="1"/>
  <c r="O222" i="1" s="1"/>
  <c r="CP220" i="1"/>
  <c r="O220" i="1" s="1"/>
  <c r="CQ211" i="1"/>
  <c r="P211" i="1" s="1"/>
  <c r="AB211" i="1"/>
  <c r="GM82" i="1"/>
  <c r="GP82" i="1"/>
  <c r="BZ273" i="1"/>
  <c r="AQ231" i="1"/>
  <c r="BZ209" i="1"/>
  <c r="AB346" i="1"/>
  <c r="BY231" i="1"/>
  <c r="CY170" i="1"/>
  <c r="X170" i="1" s="1"/>
  <c r="CZ170" i="1"/>
  <c r="Y170" i="1" s="1"/>
  <c r="T261" i="6" s="1"/>
  <c r="J264" i="6" s="1"/>
  <c r="AB354" i="1"/>
  <c r="CY218" i="1"/>
  <c r="X218" i="1" s="1"/>
  <c r="R358" i="6" s="1"/>
  <c r="J362" i="6" s="1"/>
  <c r="CZ218" i="1"/>
  <c r="Y218" i="1" s="1"/>
  <c r="T358" i="6" s="1"/>
  <c r="J363" i="6" s="1"/>
  <c r="AJ231" i="1"/>
  <c r="BX343" i="1"/>
  <c r="CG360" i="1"/>
  <c r="AB351" i="1"/>
  <c r="CY229" i="1"/>
  <c r="X229" i="1" s="1"/>
  <c r="R452" i="6" s="1"/>
  <c r="J455" i="6" s="1"/>
  <c r="CZ229" i="1"/>
  <c r="Y229" i="1" s="1"/>
  <c r="T452" i="6" s="1"/>
  <c r="J456" i="6" s="1"/>
  <c r="V225" i="1"/>
  <c r="CQ123" i="1"/>
  <c r="P123" i="1" s="1"/>
  <c r="CP123" i="1" s="1"/>
  <c r="O123" i="1" s="1"/>
  <c r="AB123" i="1"/>
  <c r="R353" i="1"/>
  <c r="GK353" i="1" s="1"/>
  <c r="CY271" i="1"/>
  <c r="X271" i="1" s="1"/>
  <c r="R500" i="6" s="1"/>
  <c r="J502" i="6" s="1"/>
  <c r="CZ271" i="1"/>
  <c r="Y271" i="1" s="1"/>
  <c r="U225" i="1"/>
  <c r="CJ273" i="1"/>
  <c r="W225" i="1"/>
  <c r="CZ173" i="1"/>
  <c r="Y173" i="1" s="1"/>
  <c r="T280" i="6" s="1"/>
  <c r="J287" i="6" s="1"/>
  <c r="CY173" i="1"/>
  <c r="X173" i="1" s="1"/>
  <c r="R280" i="6" s="1"/>
  <c r="J286" i="6" s="1"/>
  <c r="AB407" i="1"/>
  <c r="AD395" i="1"/>
  <c r="AB395" i="1" s="1"/>
  <c r="CR349" i="1"/>
  <c r="Q349" i="1" s="1"/>
  <c r="CS349" i="1"/>
  <c r="CR270" i="1"/>
  <c r="Q270" i="1" s="1"/>
  <c r="J493" i="6" s="1"/>
  <c r="CS270" i="1"/>
  <c r="W268" i="1"/>
  <c r="AJ273" i="1" s="1"/>
  <c r="CR267" i="1"/>
  <c r="Q267" i="1" s="1"/>
  <c r="CS267" i="1"/>
  <c r="BX209" i="1"/>
  <c r="AO231" i="1"/>
  <c r="CG231" i="1"/>
  <c r="CY217" i="1"/>
  <c r="X217" i="1" s="1"/>
  <c r="R352" i="6" s="1"/>
  <c r="J354" i="6" s="1"/>
  <c r="CZ217" i="1"/>
  <c r="Y217" i="1" s="1"/>
  <c r="T352" i="6" s="1"/>
  <c r="J355" i="6" s="1"/>
  <c r="CY212" i="1"/>
  <c r="X212" i="1" s="1"/>
  <c r="R317" i="6" s="1"/>
  <c r="J319" i="6" s="1"/>
  <c r="I322" i="6" s="1"/>
  <c r="CZ212" i="1"/>
  <c r="Y212" i="1" s="1"/>
  <c r="T317" i="6" s="1"/>
  <c r="J320" i="6" s="1"/>
  <c r="CY211" i="1"/>
  <c r="X211" i="1" s="1"/>
  <c r="R311" i="6" s="1"/>
  <c r="J313" i="6" s="1"/>
  <c r="CZ132" i="1"/>
  <c r="Y132" i="1" s="1"/>
  <c r="CY132" i="1"/>
  <c r="X132" i="1" s="1"/>
  <c r="AD349" i="1"/>
  <c r="AB349" i="1" s="1"/>
  <c r="AD270" i="1"/>
  <c r="V268" i="1"/>
  <c r="AI273" i="1" s="1"/>
  <c r="AD267" i="1"/>
  <c r="CR265" i="1"/>
  <c r="Q265" i="1" s="1"/>
  <c r="CS265" i="1"/>
  <c r="R265" i="1" s="1"/>
  <c r="GK265" i="1" s="1"/>
  <c r="BD231" i="1"/>
  <c r="V224" i="1"/>
  <c r="CZ219" i="1"/>
  <c r="Y219" i="1" s="1"/>
  <c r="T366" i="6" s="1"/>
  <c r="J371" i="6" s="1"/>
  <c r="CC360" i="1"/>
  <c r="F289" i="1"/>
  <c r="BC263" i="1"/>
  <c r="U268" i="1"/>
  <c r="AB267" i="1"/>
  <c r="CQ267" i="1"/>
  <c r="P267" i="1" s="1"/>
  <c r="AD265" i="1"/>
  <c r="AB265" i="1" s="1"/>
  <c r="BD263" i="1"/>
  <c r="F247" i="1"/>
  <c r="AH177" i="1"/>
  <c r="CQ354" i="1"/>
  <c r="P354" i="1" s="1"/>
  <c r="J559" i="6" s="1"/>
  <c r="V353" i="1"/>
  <c r="CB360" i="1"/>
  <c r="T268" i="1"/>
  <c r="AG273" i="1" s="1"/>
  <c r="CP265" i="1"/>
  <c r="O265" i="1" s="1"/>
  <c r="BB209" i="1"/>
  <c r="F244" i="1"/>
  <c r="CP212" i="1"/>
  <c r="O212" i="1" s="1"/>
  <c r="BY273" i="1"/>
  <c r="CZ215" i="1"/>
  <c r="Y215" i="1" s="1"/>
  <c r="T336" i="6" s="1"/>
  <c r="J342" i="6" s="1"/>
  <c r="CY215" i="1"/>
  <c r="X215" i="1" s="1"/>
  <c r="R336" i="6" s="1"/>
  <c r="J341" i="6" s="1"/>
  <c r="BB168" i="1"/>
  <c r="F190" i="1"/>
  <c r="CB177" i="1"/>
  <c r="AP136" i="1"/>
  <c r="AO136" i="1"/>
  <c r="BX119" i="1"/>
  <c r="CY130" i="1"/>
  <c r="X130" i="1" s="1"/>
  <c r="R235" i="6" s="1"/>
  <c r="J239" i="6" s="1"/>
  <c r="CZ130" i="1"/>
  <c r="Y130" i="1" s="1"/>
  <c r="T235" i="6" s="1"/>
  <c r="J240" i="6" s="1"/>
  <c r="CP81" i="1"/>
  <c r="O81" i="1" s="1"/>
  <c r="F186" i="1"/>
  <c r="AP168" i="1"/>
  <c r="CY134" i="1"/>
  <c r="X134" i="1" s="1"/>
  <c r="CZ134" i="1"/>
  <c r="Y134" i="1" s="1"/>
  <c r="T249" i="6" s="1"/>
  <c r="J253" i="6" s="1"/>
  <c r="BZ75" i="1"/>
  <c r="AQ87" i="1"/>
  <c r="CZ81" i="1"/>
  <c r="Y81" i="1" s="1"/>
  <c r="CY81" i="1"/>
  <c r="X81" i="1" s="1"/>
  <c r="R142" i="6" s="1"/>
  <c r="J146" i="6" s="1"/>
  <c r="CY30" i="1"/>
  <c r="X30" i="1" s="1"/>
  <c r="CZ30" i="1"/>
  <c r="Y30" i="1" s="1"/>
  <c r="F161" i="1"/>
  <c r="CY133" i="1"/>
  <c r="X133" i="1" s="1"/>
  <c r="R243" i="6" s="1"/>
  <c r="J245" i="6" s="1"/>
  <c r="I248" i="6" s="1"/>
  <c r="CZ133" i="1"/>
  <c r="Y133" i="1" s="1"/>
  <c r="T243" i="6" s="1"/>
  <c r="J246" i="6" s="1"/>
  <c r="CP122" i="1"/>
  <c r="O122" i="1" s="1"/>
  <c r="CS121" i="1"/>
  <c r="CR121" i="1"/>
  <c r="Q121" i="1" s="1"/>
  <c r="GP79" i="1"/>
  <c r="GX225" i="1"/>
  <c r="T225" i="1"/>
  <c r="CR174" i="1"/>
  <c r="Q174" i="1" s="1"/>
  <c r="CP174" i="1" s="1"/>
  <c r="O174" i="1" s="1"/>
  <c r="CS174" i="1"/>
  <c r="AB171" i="1"/>
  <c r="AB132" i="1"/>
  <c r="AD121" i="1"/>
  <c r="AB121" i="1" s="1"/>
  <c r="S225" i="1"/>
  <c r="J421" i="6" s="1"/>
  <c r="AD174" i="1"/>
  <c r="CQ121" i="1"/>
  <c r="P121" i="1" s="1"/>
  <c r="CM75" i="1"/>
  <c r="BD87" i="1"/>
  <c r="AH87" i="1"/>
  <c r="CQ83" i="1"/>
  <c r="P83" i="1" s="1"/>
  <c r="AB83" i="1"/>
  <c r="AB270" i="1"/>
  <c r="CR225" i="1"/>
  <c r="Q225" i="1" s="1"/>
  <c r="CP225" i="1" s="1"/>
  <c r="O225" i="1" s="1"/>
  <c r="CS225" i="1"/>
  <c r="AB174" i="1"/>
  <c r="CP170" i="1"/>
  <c r="O170" i="1" s="1"/>
  <c r="CP133" i="1"/>
  <c r="O133" i="1" s="1"/>
  <c r="CB136" i="1"/>
  <c r="CC136" i="1"/>
  <c r="F103" i="1"/>
  <c r="BC75" i="1"/>
  <c r="AB268" i="1"/>
  <c r="AD266" i="1"/>
  <c r="AB266" i="1" s="1"/>
  <c r="AD225" i="1"/>
  <c r="AB225" i="1" s="1"/>
  <c r="CB231" i="1"/>
  <c r="W128" i="1"/>
  <c r="CR229" i="1"/>
  <c r="Q229" i="1" s="1"/>
  <c r="CP229" i="1" s="1"/>
  <c r="O229" i="1" s="1"/>
  <c r="CS229" i="1"/>
  <c r="V128" i="1"/>
  <c r="AI136" i="1" s="1"/>
  <c r="AD229" i="1"/>
  <c r="AB229" i="1" s="1"/>
  <c r="P224" i="1"/>
  <c r="CR216" i="1"/>
  <c r="Q216" i="1" s="1"/>
  <c r="CS216" i="1"/>
  <c r="W130" i="1"/>
  <c r="CY124" i="1"/>
  <c r="X124" i="1" s="1"/>
  <c r="R191" i="6" s="1"/>
  <c r="J197" i="6" s="1"/>
  <c r="CZ124" i="1"/>
  <c r="Y124" i="1" s="1"/>
  <c r="T191" i="6" s="1"/>
  <c r="J198" i="6" s="1"/>
  <c r="BZ136" i="1"/>
  <c r="CI136" i="1" s="1"/>
  <c r="CR221" i="1"/>
  <c r="Q221" i="1" s="1"/>
  <c r="CS221" i="1"/>
  <c r="AD216" i="1"/>
  <c r="AB216" i="1" s="1"/>
  <c r="CY172" i="1"/>
  <c r="X172" i="1" s="1"/>
  <c r="R273" i="6" s="1"/>
  <c r="J276" i="6" s="1"/>
  <c r="CZ172" i="1"/>
  <c r="Y172" i="1" s="1"/>
  <c r="T273" i="6" s="1"/>
  <c r="J277" i="6" s="1"/>
  <c r="U130" i="1"/>
  <c r="K241" i="6" s="1"/>
  <c r="AD221" i="1"/>
  <c r="AB221" i="1" s="1"/>
  <c r="AB213" i="1"/>
  <c r="CQ213" i="1"/>
  <c r="P213" i="1" s="1"/>
  <c r="CP213" i="1" s="1"/>
  <c r="O213" i="1" s="1"/>
  <c r="CS172" i="1"/>
  <c r="CR172" i="1"/>
  <c r="Q172" i="1" s="1"/>
  <c r="AG87" i="1"/>
  <c r="CB75" i="1"/>
  <c r="AS87" i="1"/>
  <c r="AB347" i="1"/>
  <c r="CR219" i="1"/>
  <c r="Q219" i="1" s="1"/>
  <c r="CS219" i="1"/>
  <c r="AO177" i="1"/>
  <c r="CG177" i="1"/>
  <c r="BX168" i="1"/>
  <c r="W174" i="1"/>
  <c r="AJ177" i="1" s="1"/>
  <c r="AD172" i="1"/>
  <c r="CY129" i="1"/>
  <c r="X129" i="1" s="1"/>
  <c r="GM129" i="1" s="1"/>
  <c r="CZ129" i="1"/>
  <c r="Y129" i="1" s="1"/>
  <c r="U128" i="1"/>
  <c r="K233" i="6" s="1"/>
  <c r="CZ126" i="1"/>
  <c r="Y126" i="1" s="1"/>
  <c r="W87" i="1"/>
  <c r="AJ75" i="1"/>
  <c r="CQ270" i="1"/>
  <c r="P270" i="1" s="1"/>
  <c r="AB222" i="1"/>
  <c r="AD219" i="1"/>
  <c r="AB219" i="1" s="1"/>
  <c r="CP218" i="1"/>
  <c r="O218" i="1" s="1"/>
  <c r="CS212" i="1"/>
  <c r="BD177" i="1"/>
  <c r="V174" i="1"/>
  <c r="AI177" i="1" s="1"/>
  <c r="AB172" i="1"/>
  <c r="CQ172" i="1"/>
  <c r="P172" i="1" s="1"/>
  <c r="BY168" i="1"/>
  <c r="CP132" i="1"/>
  <c r="O132" i="1" s="1"/>
  <c r="V130" i="1"/>
  <c r="CC75" i="1"/>
  <c r="T224" i="1"/>
  <c r="AG231" i="1" s="1"/>
  <c r="BC177" i="1"/>
  <c r="CC177" i="1"/>
  <c r="CY131" i="1"/>
  <c r="X131" i="1" s="1"/>
  <c r="CZ131" i="1"/>
  <c r="Y131" i="1" s="1"/>
  <c r="CP125" i="1"/>
  <c r="O125" i="1" s="1"/>
  <c r="CY122" i="1"/>
  <c r="X122" i="1" s="1"/>
  <c r="R177" i="6" s="1"/>
  <c r="J180" i="6" s="1"/>
  <c r="CR37" i="1"/>
  <c r="Q37" i="1" s="1"/>
  <c r="CS37" i="1"/>
  <c r="CY34" i="1"/>
  <c r="X34" i="1" s="1"/>
  <c r="R67" i="6" s="1"/>
  <c r="J70" i="6" s="1"/>
  <c r="CZ34" i="1"/>
  <c r="Y34" i="1" s="1"/>
  <c r="T67" i="6" s="1"/>
  <c r="J71" i="6" s="1"/>
  <c r="AI87" i="1"/>
  <c r="CY41" i="1"/>
  <c r="X41" i="1" s="1"/>
  <c r="R107" i="6" s="1"/>
  <c r="J111" i="6" s="1"/>
  <c r="CZ41" i="1"/>
  <c r="Y41" i="1" s="1"/>
  <c r="T107" i="6" s="1"/>
  <c r="J112" i="6" s="1"/>
  <c r="AD37" i="1"/>
  <c r="AB37" i="1" s="1"/>
  <c r="CQ37" i="1"/>
  <c r="P37" i="1" s="1"/>
  <c r="CP35" i="1"/>
  <c r="O35" i="1" s="1"/>
  <c r="AB31" i="1"/>
  <c r="CY80" i="1"/>
  <c r="X80" i="1" s="1"/>
  <c r="CB26" i="1"/>
  <c r="AS43" i="1"/>
  <c r="GK77" i="1"/>
  <c r="CY36" i="1"/>
  <c r="X36" i="1" s="1"/>
  <c r="R82" i="6" s="1"/>
  <c r="J86" i="6" s="1"/>
  <c r="CZ36" i="1"/>
  <c r="Y36" i="1" s="1"/>
  <c r="T82" i="6" s="1"/>
  <c r="J87" i="6" s="1"/>
  <c r="CR130" i="1"/>
  <c r="Q130" i="1" s="1"/>
  <c r="CS130" i="1"/>
  <c r="T128" i="1"/>
  <c r="CY38" i="1"/>
  <c r="X38" i="1" s="1"/>
  <c r="R98" i="6" s="1"/>
  <c r="CZ38" i="1"/>
  <c r="Y38" i="1" s="1"/>
  <c r="T98" i="6" s="1"/>
  <c r="CY28" i="1"/>
  <c r="X28" i="1" s="1"/>
  <c r="R35" i="6" s="1"/>
  <c r="J38" i="6" s="1"/>
  <c r="CZ28" i="1"/>
  <c r="Y28" i="1" s="1"/>
  <c r="T35" i="6" s="1"/>
  <c r="J39" i="6" s="1"/>
  <c r="AD134" i="1"/>
  <c r="AB134" i="1" s="1"/>
  <c r="AD130" i="1"/>
  <c r="AB130" i="1" s="1"/>
  <c r="S128" i="1"/>
  <c r="J230" i="6" s="1"/>
  <c r="AC87" i="1"/>
  <c r="CP77" i="1"/>
  <c r="O77" i="1" s="1"/>
  <c r="CL26" i="1"/>
  <c r="BC43" i="1"/>
  <c r="CR38" i="1"/>
  <c r="Q38" i="1" s="1"/>
  <c r="CP38" i="1" s="1"/>
  <c r="O38" i="1" s="1"/>
  <c r="AD38" i="1"/>
  <c r="AB38" i="1" s="1"/>
  <c r="CS38" i="1"/>
  <c r="CS28" i="1"/>
  <c r="CR28" i="1"/>
  <c r="Q28" i="1" s="1"/>
  <c r="AB212" i="1"/>
  <c r="AD132" i="1"/>
  <c r="CQ130" i="1"/>
  <c r="P130" i="1" s="1"/>
  <c r="CR128" i="1"/>
  <c r="Q128" i="1" s="1"/>
  <c r="CP128" i="1" s="1"/>
  <c r="O128" i="1" s="1"/>
  <c r="CS128" i="1"/>
  <c r="CK26" i="1"/>
  <c r="BB43" i="1"/>
  <c r="CY40" i="1"/>
  <c r="X40" i="1" s="1"/>
  <c r="CZ40" i="1"/>
  <c r="Y40" i="1" s="1"/>
  <c r="GM40" i="1" s="1"/>
  <c r="AD28" i="1"/>
  <c r="BZ177" i="1"/>
  <c r="BX75" i="1"/>
  <c r="CG87" i="1"/>
  <c r="U121" i="1"/>
  <c r="K175" i="6" s="1"/>
  <c r="AB128" i="1"/>
  <c r="CP84" i="1"/>
  <c r="O84" i="1" s="1"/>
  <c r="CY83" i="1"/>
  <c r="X83" i="1" s="1"/>
  <c r="CZ83" i="1"/>
  <c r="Y83" i="1" s="1"/>
  <c r="CP36" i="1"/>
  <c r="O36" i="1" s="1"/>
  <c r="CR175" i="1"/>
  <c r="Q175" i="1" s="1"/>
  <c r="CP175" i="1" s="1"/>
  <c r="O175" i="1" s="1"/>
  <c r="CS175" i="1"/>
  <c r="CS83" i="1"/>
  <c r="R83" i="1" s="1"/>
  <c r="GK83" i="1" s="1"/>
  <c r="CR83" i="1"/>
  <c r="Q83" i="1" s="1"/>
  <c r="CC43" i="1"/>
  <c r="CY32" i="1"/>
  <c r="X32" i="1" s="1"/>
  <c r="R49" i="6" s="1"/>
  <c r="J55" i="6" s="1"/>
  <c r="CZ32" i="1"/>
  <c r="Y32" i="1" s="1"/>
  <c r="T49" i="6" s="1"/>
  <c r="J56" i="6" s="1"/>
  <c r="CP29" i="1"/>
  <c r="O29" i="1" s="1"/>
  <c r="CQ28" i="1"/>
  <c r="P28" i="1" s="1"/>
  <c r="AB28" i="1"/>
  <c r="AO26" i="1"/>
  <c r="F47" i="1"/>
  <c r="W30" i="1"/>
  <c r="CR39" i="1"/>
  <c r="CS39" i="1"/>
  <c r="V31" i="1"/>
  <c r="AD39" i="1"/>
  <c r="AB39" i="1" s="1"/>
  <c r="U31" i="1"/>
  <c r="AB126" i="1"/>
  <c r="AD41" i="1"/>
  <c r="AB41" i="1" s="1"/>
  <c r="BZ43" i="1"/>
  <c r="CP34" i="1"/>
  <c r="O34" i="1" s="1"/>
  <c r="AD29" i="1"/>
  <c r="AB29" i="1" s="1"/>
  <c r="GX121" i="1"/>
  <c r="AD85" i="1"/>
  <c r="AB85" i="1" s="1"/>
  <c r="AB34" i="1"/>
  <c r="GX31" i="1"/>
  <c r="T31" i="1"/>
  <c r="S31" i="1"/>
  <c r="AB122" i="1"/>
  <c r="AB80" i="1"/>
  <c r="F52" i="1"/>
  <c r="CY35" i="1"/>
  <c r="X35" i="1" s="1"/>
  <c r="R74" i="6" s="1"/>
  <c r="J78" i="6" s="1"/>
  <c r="CZ35" i="1"/>
  <c r="Y35" i="1" s="1"/>
  <c r="T74" i="6" s="1"/>
  <c r="J79" i="6" s="1"/>
  <c r="CR31" i="1"/>
  <c r="Q31" i="1" s="1"/>
  <c r="CP31" i="1" s="1"/>
  <c r="O31" i="1" s="1"/>
  <c r="CS31" i="1"/>
  <c r="R31" i="1" s="1"/>
  <c r="GK31" i="1" s="1"/>
  <c r="V28" i="1"/>
  <c r="AB36" i="1"/>
  <c r="AB33" i="1"/>
  <c r="W28" i="1"/>
  <c r="AD35" i="1"/>
  <c r="AB35" i="1" s="1"/>
  <c r="AD32" i="1"/>
  <c r="AB32" i="1" s="1"/>
  <c r="P490" i="6" l="1"/>
  <c r="K490" i="6"/>
  <c r="K653" i="6"/>
  <c r="P653" i="6"/>
  <c r="P596" i="6"/>
  <c r="K596" i="6"/>
  <c r="K115" i="6"/>
  <c r="P115" i="6"/>
  <c r="GM80" i="1"/>
  <c r="AD87" i="1"/>
  <c r="AD75" i="1" s="1"/>
  <c r="CP85" i="1"/>
  <c r="O85" i="1" s="1"/>
  <c r="GM85" i="1" s="1"/>
  <c r="I149" i="6"/>
  <c r="R349" i="1"/>
  <c r="V525" i="6"/>
  <c r="J532" i="6" s="1"/>
  <c r="CP214" i="1"/>
  <c r="O214" i="1" s="1"/>
  <c r="GM518" i="1"/>
  <c r="R28" i="1"/>
  <c r="GK28" i="1" s="1"/>
  <c r="V35" i="6"/>
  <c r="I556" i="6"/>
  <c r="R516" i="1"/>
  <c r="V730" i="6"/>
  <c r="R215" i="1"/>
  <c r="V336" i="6"/>
  <c r="J343" i="6" s="1"/>
  <c r="CY521" i="1"/>
  <c r="X521" i="1" s="1"/>
  <c r="R764" i="6" s="1"/>
  <c r="J769" i="6" s="1"/>
  <c r="J765" i="6"/>
  <c r="K156" i="6"/>
  <c r="P156" i="6"/>
  <c r="K357" i="6"/>
  <c r="P357" i="6"/>
  <c r="Q39" i="1"/>
  <c r="CP39" i="1" s="1"/>
  <c r="O39" i="1" s="1"/>
  <c r="J102" i="6" s="1"/>
  <c r="CZ85" i="1"/>
  <c r="Y85" i="1" s="1"/>
  <c r="T157" i="6" s="1"/>
  <c r="J162" i="6" s="1"/>
  <c r="CP41" i="1"/>
  <c r="O41" i="1" s="1"/>
  <c r="T737" i="6"/>
  <c r="J741" i="6" s="1"/>
  <c r="I743" i="6" s="1"/>
  <c r="R401" i="1"/>
  <c r="GK401" i="1" s="1"/>
  <c r="V640" i="6"/>
  <c r="CY562" i="1"/>
  <c r="X562" i="1" s="1"/>
  <c r="BC624" i="1"/>
  <c r="AF413" i="1"/>
  <c r="AF392" i="1" s="1"/>
  <c r="K390" i="6"/>
  <c r="CP227" i="1"/>
  <c r="O227" i="1" s="1"/>
  <c r="CP524" i="1"/>
  <c r="O524" i="1" s="1"/>
  <c r="GP524" i="1" s="1"/>
  <c r="J783" i="6"/>
  <c r="I692" i="6"/>
  <c r="I736" i="6"/>
  <c r="V677" i="6"/>
  <c r="J684" i="6" s="1"/>
  <c r="R407" i="1"/>
  <c r="GK521" i="1"/>
  <c r="J767" i="6"/>
  <c r="CY270" i="1"/>
  <c r="X270" i="1" s="1"/>
  <c r="R491" i="6" s="1"/>
  <c r="J495" i="6" s="1"/>
  <c r="J492" i="6"/>
  <c r="CZ270" i="1"/>
  <c r="Y270" i="1" s="1"/>
  <c r="T491" i="6" s="1"/>
  <c r="J496" i="6" s="1"/>
  <c r="CP562" i="1"/>
  <c r="O562" i="1" s="1"/>
  <c r="GP562" i="1" s="1"/>
  <c r="CY517" i="1"/>
  <c r="X517" i="1" s="1"/>
  <c r="R737" i="6" s="1"/>
  <c r="J740" i="6" s="1"/>
  <c r="J738" i="6"/>
  <c r="I81" i="6"/>
  <c r="GM271" i="1"/>
  <c r="T500" i="6"/>
  <c r="J503" i="6" s="1"/>
  <c r="T397" i="6"/>
  <c r="J404" i="6" s="1"/>
  <c r="GP40" i="1"/>
  <c r="CY268" i="1"/>
  <c r="X268" i="1" s="1"/>
  <c r="R473" i="6" s="1"/>
  <c r="J477" i="6" s="1"/>
  <c r="J475" i="6"/>
  <c r="I480" i="6" s="1"/>
  <c r="CZ401" i="1"/>
  <c r="Y401" i="1" s="1"/>
  <c r="T640" i="6" s="1"/>
  <c r="J644" i="6" s="1"/>
  <c r="J641" i="6"/>
  <c r="V737" i="6"/>
  <c r="R517" i="1"/>
  <c r="GK517" i="1" s="1"/>
  <c r="CP219" i="1"/>
  <c r="O219" i="1" s="1"/>
  <c r="J368" i="6"/>
  <c r="AF527" i="1"/>
  <c r="I660" i="6"/>
  <c r="AO594" i="1"/>
  <c r="F531" i="1"/>
  <c r="AO513" i="1"/>
  <c r="CJ136" i="1"/>
  <c r="CP171" i="1"/>
  <c r="O171" i="1" s="1"/>
  <c r="F152" i="1"/>
  <c r="AP75" i="1"/>
  <c r="R216" i="1"/>
  <c r="GK216" i="1" s="1"/>
  <c r="V346" i="6"/>
  <c r="R174" i="1"/>
  <c r="GK174" i="1" s="1"/>
  <c r="V291" i="6"/>
  <c r="CZ171" i="1"/>
  <c r="Y171" i="1" s="1"/>
  <c r="T267" i="6" s="1"/>
  <c r="J270" i="6" s="1"/>
  <c r="GM134" i="1"/>
  <c r="R249" i="6"/>
  <c r="J252" i="6" s="1"/>
  <c r="AH273" i="1"/>
  <c r="K479" i="6"/>
  <c r="CP268" i="1"/>
  <c r="O268" i="1" s="1"/>
  <c r="CY85" i="1"/>
  <c r="X85" i="1" s="1"/>
  <c r="R157" i="6" s="1"/>
  <c r="J161" i="6" s="1"/>
  <c r="R135" i="6"/>
  <c r="J138" i="6" s="1"/>
  <c r="T213" i="6"/>
  <c r="J218" i="6" s="1"/>
  <c r="I220" i="6" s="1"/>
  <c r="CP216" i="1"/>
  <c r="O216" i="1" s="1"/>
  <c r="GP216" i="1" s="1"/>
  <c r="CP83" i="1"/>
  <c r="O83" i="1" s="1"/>
  <c r="GM83" i="1" s="1"/>
  <c r="CY171" i="1"/>
  <c r="X171" i="1" s="1"/>
  <c r="R267" i="6" s="1"/>
  <c r="J269" i="6" s="1"/>
  <c r="I272" i="6" s="1"/>
  <c r="AF177" i="1"/>
  <c r="CZ396" i="1"/>
  <c r="Y396" i="1" s="1"/>
  <c r="T604" i="6" s="1"/>
  <c r="J608" i="6" s="1"/>
  <c r="F610" i="1"/>
  <c r="R224" i="1"/>
  <c r="V408" i="6"/>
  <c r="J416" i="6" s="1"/>
  <c r="V329" i="6"/>
  <c r="R214" i="1"/>
  <c r="GK214" i="1" s="1"/>
  <c r="GM214" i="1" s="1"/>
  <c r="I97" i="6"/>
  <c r="R220" i="1"/>
  <c r="V374" i="6"/>
  <c r="J381" i="6" s="1"/>
  <c r="P39" i="1"/>
  <c r="R34" i="1"/>
  <c r="GK34" i="1" s="1"/>
  <c r="V67" i="6"/>
  <c r="CZ228" i="1"/>
  <c r="Y228" i="1" s="1"/>
  <c r="T444" i="6" s="1"/>
  <c r="J449" i="6" s="1"/>
  <c r="J446" i="6"/>
  <c r="CY228" i="1"/>
  <c r="X228" i="1" s="1"/>
  <c r="R444" i="6" s="1"/>
  <c r="J448" i="6" s="1"/>
  <c r="CY214" i="1"/>
  <c r="X214" i="1" s="1"/>
  <c r="R329" i="6" s="1"/>
  <c r="J332" i="6" s="1"/>
  <c r="J330" i="6"/>
  <c r="I335" i="6" s="1"/>
  <c r="S39" i="1"/>
  <c r="AF43" i="1" s="1"/>
  <c r="R175" i="1"/>
  <c r="GK175" i="1" s="1"/>
  <c r="GM175" i="1" s="1"/>
  <c r="V299" i="6"/>
  <c r="R128" i="1"/>
  <c r="GK128" i="1" s="1"/>
  <c r="V228" i="6"/>
  <c r="R130" i="1"/>
  <c r="GK130" i="1" s="1"/>
  <c r="V235" i="6"/>
  <c r="CP172" i="1"/>
  <c r="O172" i="1" s="1"/>
  <c r="J275" i="6"/>
  <c r="CP224" i="1"/>
  <c r="O224" i="1" s="1"/>
  <c r="J413" i="6"/>
  <c r="I345" i="6"/>
  <c r="CY396" i="1"/>
  <c r="X396" i="1" s="1"/>
  <c r="R604" i="6" s="1"/>
  <c r="J607" i="6" s="1"/>
  <c r="GM399" i="1"/>
  <c r="R625" i="6"/>
  <c r="J628" i="6" s="1"/>
  <c r="I631" i="6" s="1"/>
  <c r="R351" i="1"/>
  <c r="GK351" i="1" s="1"/>
  <c r="V537" i="6"/>
  <c r="CB513" i="1"/>
  <c r="R227" i="1"/>
  <c r="V433" i="6"/>
  <c r="J441" i="6" s="1"/>
  <c r="R124" i="1"/>
  <c r="V191" i="6"/>
  <c r="J199" i="6" s="1"/>
  <c r="CY174" i="1"/>
  <c r="X174" i="1" s="1"/>
  <c r="R291" i="6" s="1"/>
  <c r="J295" i="6" s="1"/>
  <c r="J293" i="6"/>
  <c r="I298" i="6" s="1"/>
  <c r="R525" i="1"/>
  <c r="GK525" i="1" s="1"/>
  <c r="GP525" i="1" s="1"/>
  <c r="V788" i="6"/>
  <c r="V202" i="6"/>
  <c r="J210" i="6" s="1"/>
  <c r="R125" i="1"/>
  <c r="R84" i="1"/>
  <c r="GK84" i="1" s="1"/>
  <c r="V150" i="6"/>
  <c r="V426" i="6"/>
  <c r="R226" i="1"/>
  <c r="GK226" i="1" s="1"/>
  <c r="CY355" i="1"/>
  <c r="X355" i="1" s="1"/>
  <c r="R564" i="6" s="1"/>
  <c r="J568" i="6" s="1"/>
  <c r="J566" i="6"/>
  <c r="I571" i="6" s="1"/>
  <c r="R524" i="1"/>
  <c r="GK524" i="1" s="1"/>
  <c r="V781" i="6"/>
  <c r="CP124" i="1"/>
  <c r="O124" i="1" s="1"/>
  <c r="AI43" i="1"/>
  <c r="AI26" i="1" s="1"/>
  <c r="GM131" i="1"/>
  <c r="R37" i="1"/>
  <c r="GK37" i="1" s="1"/>
  <c r="V91" i="6"/>
  <c r="I365" i="6"/>
  <c r="V49" i="6"/>
  <c r="J57" i="6" s="1"/>
  <c r="R32" i="1"/>
  <c r="V597" i="6"/>
  <c r="R395" i="1"/>
  <c r="GK395" i="1" s="1"/>
  <c r="CZ33" i="1"/>
  <c r="Y33" i="1" s="1"/>
  <c r="T60" i="6" s="1"/>
  <c r="J64" i="6" s="1"/>
  <c r="I66" i="6" s="1"/>
  <c r="CJ231" i="1"/>
  <c r="CJ209" i="1" s="1"/>
  <c r="R261" i="6"/>
  <c r="J263" i="6" s="1"/>
  <c r="I266" i="6" s="1"/>
  <c r="AG360" i="1"/>
  <c r="R397" i="1"/>
  <c r="GK397" i="1" s="1"/>
  <c r="V611" i="6"/>
  <c r="R632" i="6"/>
  <c r="J636" i="6" s="1"/>
  <c r="R406" i="1"/>
  <c r="V667" i="6"/>
  <c r="J674" i="6" s="1"/>
  <c r="R347" i="1"/>
  <c r="V518" i="6"/>
  <c r="I201" i="6"/>
  <c r="I190" i="6"/>
  <c r="J520" i="6"/>
  <c r="CY347" i="1"/>
  <c r="X347" i="1" s="1"/>
  <c r="R518" i="6" s="1"/>
  <c r="J521" i="6" s="1"/>
  <c r="CZ347" i="1"/>
  <c r="Y347" i="1" s="1"/>
  <c r="T518" i="6" s="1"/>
  <c r="J522" i="6" s="1"/>
  <c r="J465" i="6"/>
  <c r="CZ267" i="1"/>
  <c r="Y267" i="1" s="1"/>
  <c r="T464" i="6" s="1"/>
  <c r="J469" i="6" s="1"/>
  <c r="CY267" i="1"/>
  <c r="X267" i="1" s="1"/>
  <c r="R464" i="6" s="1"/>
  <c r="J468" i="6" s="1"/>
  <c r="CZ352" i="1"/>
  <c r="Y352" i="1" s="1"/>
  <c r="T544" i="6" s="1"/>
  <c r="J547" i="6" s="1"/>
  <c r="J545" i="6"/>
  <c r="CY352" i="1"/>
  <c r="X352" i="1" s="1"/>
  <c r="R544" i="6" s="1"/>
  <c r="J546" i="6" s="1"/>
  <c r="V74" i="6"/>
  <c r="R35" i="1"/>
  <c r="GK35" i="1" s="1"/>
  <c r="GP35" i="1" s="1"/>
  <c r="I141" i="6"/>
  <c r="CP215" i="1"/>
  <c r="O215" i="1" s="1"/>
  <c r="I73" i="6"/>
  <c r="I563" i="6"/>
  <c r="CZ405" i="1"/>
  <c r="Y405" i="1" s="1"/>
  <c r="T661" i="6" s="1"/>
  <c r="J664" i="6" s="1"/>
  <c r="J662" i="6"/>
  <c r="CY405" i="1"/>
  <c r="X405" i="1" s="1"/>
  <c r="R661" i="6" s="1"/>
  <c r="J663" i="6" s="1"/>
  <c r="R398" i="1"/>
  <c r="GK398" i="1" s="1"/>
  <c r="GP398" i="1" s="1"/>
  <c r="V618" i="6"/>
  <c r="U39" i="1"/>
  <c r="AH43" i="1" s="1"/>
  <c r="U43" i="1" s="1"/>
  <c r="R405" i="1"/>
  <c r="GK405" i="1" s="1"/>
  <c r="GP405" i="1" s="1"/>
  <c r="V661" i="6"/>
  <c r="CP395" i="1"/>
  <c r="O395" i="1" s="1"/>
  <c r="CY219" i="1"/>
  <c r="X219" i="1" s="1"/>
  <c r="R366" i="6" s="1"/>
  <c r="J370" i="6" s="1"/>
  <c r="J367" i="6"/>
  <c r="CP517" i="1"/>
  <c r="O517" i="1" s="1"/>
  <c r="GM517" i="1" s="1"/>
  <c r="CP409" i="1"/>
  <c r="O409" i="1" s="1"/>
  <c r="J695" i="6"/>
  <c r="R219" i="1"/>
  <c r="GK219" i="1" s="1"/>
  <c r="V366" i="6"/>
  <c r="K322" i="6"/>
  <c r="P322" i="6"/>
  <c r="I646" i="6"/>
  <c r="V261" i="6"/>
  <c r="R170" i="1"/>
  <c r="GK170" i="1" s="1"/>
  <c r="J347" i="6"/>
  <c r="CY216" i="1"/>
  <c r="X216" i="1" s="1"/>
  <c r="R346" i="6" s="1"/>
  <c r="J348" i="6" s="1"/>
  <c r="CZ216" i="1"/>
  <c r="Y216" i="1" s="1"/>
  <c r="T346" i="6" s="1"/>
  <c r="J349" i="6" s="1"/>
  <c r="V82" i="6"/>
  <c r="J88" i="6" s="1"/>
  <c r="R36" i="1"/>
  <c r="CZ227" i="1"/>
  <c r="Y227" i="1" s="1"/>
  <c r="T433" i="6" s="1"/>
  <c r="J440" i="6" s="1"/>
  <c r="J435" i="6"/>
  <c r="I443" i="6" s="1"/>
  <c r="CY227" i="1"/>
  <c r="X227" i="1" s="1"/>
  <c r="R433" i="6" s="1"/>
  <c r="J439" i="6" s="1"/>
  <c r="R268" i="1"/>
  <c r="GK268" i="1" s="1"/>
  <c r="V473" i="6"/>
  <c r="CY33" i="1"/>
  <c r="X33" i="1" s="1"/>
  <c r="R60" i="6" s="1"/>
  <c r="J63" i="6" s="1"/>
  <c r="CP410" i="1"/>
  <c r="O410" i="1" s="1"/>
  <c r="J703" i="6"/>
  <c r="I707" i="6" s="1"/>
  <c r="CZ521" i="1"/>
  <c r="Y521" i="1" s="1"/>
  <c r="CZ349" i="1"/>
  <c r="Y349" i="1" s="1"/>
  <c r="T525" i="6" s="1"/>
  <c r="J531" i="6" s="1"/>
  <c r="J526" i="6"/>
  <c r="BA559" i="1"/>
  <c r="F584" i="1"/>
  <c r="AD177" i="1"/>
  <c r="Q177" i="1" s="1"/>
  <c r="CY127" i="1"/>
  <c r="X127" i="1" s="1"/>
  <c r="R221" i="6" s="1"/>
  <c r="J224" i="6" s="1"/>
  <c r="I227" i="6" s="1"/>
  <c r="CP173" i="1"/>
  <c r="O173" i="1" s="1"/>
  <c r="R267" i="1"/>
  <c r="J467" i="6" s="1"/>
  <c r="V464" i="6"/>
  <c r="J470" i="6" s="1"/>
  <c r="R357" i="1"/>
  <c r="GK357" i="1" s="1"/>
  <c r="V579" i="6"/>
  <c r="CY353" i="1"/>
  <c r="X353" i="1" s="1"/>
  <c r="R550" i="6" s="1"/>
  <c r="J553" i="6" s="1"/>
  <c r="AP527" i="1"/>
  <c r="R677" i="6"/>
  <c r="J682" i="6" s="1"/>
  <c r="AP360" i="1"/>
  <c r="BY75" i="1"/>
  <c r="R172" i="1"/>
  <c r="GK172" i="1" s="1"/>
  <c r="GM172" i="1" s="1"/>
  <c r="V273" i="6"/>
  <c r="AC360" i="1"/>
  <c r="CY121" i="1"/>
  <c r="X121" i="1" s="1"/>
  <c r="R170" i="6" s="1"/>
  <c r="J173" i="6" s="1"/>
  <c r="R354" i="1"/>
  <c r="GK354" i="1" s="1"/>
  <c r="V557" i="6"/>
  <c r="AW564" i="1"/>
  <c r="BY343" i="1"/>
  <c r="CZ519" i="1"/>
  <c r="Y519" i="1" s="1"/>
  <c r="T744" i="6" s="1"/>
  <c r="J750" i="6" s="1"/>
  <c r="CZ403" i="1"/>
  <c r="Y403" i="1" s="1"/>
  <c r="T654" i="6" s="1"/>
  <c r="J658" i="6" s="1"/>
  <c r="I59" i="6"/>
  <c r="I305" i="6"/>
  <c r="J580" i="6"/>
  <c r="I584" i="6" s="1"/>
  <c r="CY357" i="1"/>
  <c r="X357" i="1" s="1"/>
  <c r="R579" i="6" s="1"/>
  <c r="J581" i="6" s="1"/>
  <c r="CZ357" i="1"/>
  <c r="Y357" i="1" s="1"/>
  <c r="T579" i="6" s="1"/>
  <c r="J582" i="6" s="1"/>
  <c r="R402" i="1"/>
  <c r="GK402" i="1" s="1"/>
  <c r="V647" i="6"/>
  <c r="J709" i="6"/>
  <c r="CY411" i="1"/>
  <c r="X411" i="1" s="1"/>
  <c r="R708" i="6" s="1"/>
  <c r="J711" i="6" s="1"/>
  <c r="CZ411" i="1"/>
  <c r="Y411" i="1" s="1"/>
  <c r="T708" i="6" s="1"/>
  <c r="J712" i="6" s="1"/>
  <c r="R352" i="1"/>
  <c r="GK352" i="1" s="1"/>
  <c r="V544" i="6"/>
  <c r="I763" i="6"/>
  <c r="R228" i="1"/>
  <c r="GK228" i="1" s="1"/>
  <c r="V444" i="6"/>
  <c r="CP223" i="1"/>
  <c r="O223" i="1" s="1"/>
  <c r="I458" i="6"/>
  <c r="R134" i="1"/>
  <c r="GK134" i="1" s="1"/>
  <c r="V249" i="6"/>
  <c r="V39" i="1"/>
  <c r="J204" i="6"/>
  <c r="CZ125" i="1"/>
  <c r="Y125" i="1" s="1"/>
  <c r="T202" i="6" s="1"/>
  <c r="J209" i="6" s="1"/>
  <c r="CY125" i="1"/>
  <c r="X125" i="1" s="1"/>
  <c r="R202" i="6" s="1"/>
  <c r="J208" i="6" s="1"/>
  <c r="I603" i="6"/>
  <c r="R411" i="1"/>
  <c r="GK411" i="1" s="1"/>
  <c r="GP411" i="1" s="1"/>
  <c r="V708" i="6"/>
  <c r="K248" i="6"/>
  <c r="P248" i="6"/>
  <c r="R39" i="1"/>
  <c r="GK39" i="1" s="1"/>
  <c r="V102" i="6"/>
  <c r="I255" i="6"/>
  <c r="CP349" i="1"/>
  <c r="O349" i="1" s="1"/>
  <c r="J527" i="6"/>
  <c r="CP401" i="1"/>
  <c r="O401" i="1" s="1"/>
  <c r="GM401" i="1" s="1"/>
  <c r="CP130" i="1"/>
  <c r="O130" i="1" s="1"/>
  <c r="GM130" i="1" s="1"/>
  <c r="J238" i="6"/>
  <c r="I242" i="6" s="1"/>
  <c r="CZ127" i="1"/>
  <c r="Y127" i="1" s="1"/>
  <c r="T221" i="6" s="1"/>
  <c r="J225" i="6" s="1"/>
  <c r="BB119" i="1"/>
  <c r="CZ268" i="1"/>
  <c r="Y268" i="1" s="1"/>
  <c r="T473" i="6" s="1"/>
  <c r="J478" i="6" s="1"/>
  <c r="AH360" i="1"/>
  <c r="K542" i="6"/>
  <c r="CP353" i="1"/>
  <c r="O353" i="1" s="1"/>
  <c r="CZ353" i="1"/>
  <c r="Y353" i="1" s="1"/>
  <c r="T550" i="6" s="1"/>
  <c r="J554" i="6" s="1"/>
  <c r="R173" i="1"/>
  <c r="V280" i="6"/>
  <c r="J288" i="6" s="1"/>
  <c r="I290" i="6" s="1"/>
  <c r="V128" i="6"/>
  <c r="R78" i="1"/>
  <c r="V213" i="6"/>
  <c r="R126" i="1"/>
  <c r="GK126" i="1" s="1"/>
  <c r="GM126" i="1" s="1"/>
  <c r="CY222" i="1"/>
  <c r="X222" i="1" s="1"/>
  <c r="R391" i="6" s="1"/>
  <c r="J393" i="6" s="1"/>
  <c r="I396" i="6" s="1"/>
  <c r="J392" i="6"/>
  <c r="CZ222" i="1"/>
  <c r="Y222" i="1" s="1"/>
  <c r="T391" i="6" s="1"/>
  <c r="J394" i="6" s="1"/>
  <c r="T39" i="1"/>
  <c r="AG43" i="1" s="1"/>
  <c r="AG26" i="1" s="1"/>
  <c r="W39" i="1"/>
  <c r="CI87" i="1"/>
  <c r="R221" i="1"/>
  <c r="GK221" i="1" s="1"/>
  <c r="V384" i="6"/>
  <c r="R229" i="1"/>
  <c r="GK229" i="1" s="1"/>
  <c r="GM229" i="1" s="1"/>
  <c r="V452" i="6"/>
  <c r="CZ121" i="1"/>
  <c r="Y121" i="1" s="1"/>
  <c r="T170" i="6" s="1"/>
  <c r="J174" i="6" s="1"/>
  <c r="GP356" i="1"/>
  <c r="R572" i="6"/>
  <c r="J575" i="6" s="1"/>
  <c r="GP523" i="1"/>
  <c r="R774" i="6"/>
  <c r="J777" i="6" s="1"/>
  <c r="I780" i="6" s="1"/>
  <c r="R223" i="1"/>
  <c r="V397" i="6"/>
  <c r="J405" i="6" s="1"/>
  <c r="R356" i="1"/>
  <c r="GK356" i="1" s="1"/>
  <c r="V572" i="6"/>
  <c r="P183" i="6"/>
  <c r="K183" i="6"/>
  <c r="R218" i="1"/>
  <c r="GK218" i="1" s="1"/>
  <c r="GP218" i="1" s="1"/>
  <c r="V358" i="6"/>
  <c r="BY26" i="1"/>
  <c r="GX39" i="1"/>
  <c r="CJ43" i="1" s="1"/>
  <c r="R212" i="1"/>
  <c r="V317" i="6"/>
  <c r="AD231" i="1"/>
  <c r="AD273" i="1"/>
  <c r="J466" i="6"/>
  <c r="CZ356" i="1"/>
  <c r="Y356" i="1" s="1"/>
  <c r="T572" i="6" s="1"/>
  <c r="J576" i="6" s="1"/>
  <c r="CZ174" i="1"/>
  <c r="Y174" i="1" s="1"/>
  <c r="T291" i="6" s="1"/>
  <c r="J296" i="6" s="1"/>
  <c r="AJ136" i="1"/>
  <c r="AJ119" i="1" s="1"/>
  <c r="R225" i="1"/>
  <c r="GK225" i="1" s="1"/>
  <c r="V419" i="6"/>
  <c r="R121" i="1"/>
  <c r="AE136" i="1" s="1"/>
  <c r="V170" i="6"/>
  <c r="CZ211" i="1"/>
  <c r="Y211" i="1" s="1"/>
  <c r="T311" i="6" s="1"/>
  <c r="J314" i="6" s="1"/>
  <c r="AH231" i="1"/>
  <c r="K424" i="6"/>
  <c r="CY220" i="1"/>
  <c r="X220" i="1" s="1"/>
  <c r="R374" i="6" s="1"/>
  <c r="J379" i="6" s="1"/>
  <c r="I383" i="6" s="1"/>
  <c r="R408" i="1"/>
  <c r="GK408" i="1" s="1"/>
  <c r="V687" i="6"/>
  <c r="AF231" i="1"/>
  <c r="AF209" i="1" s="1"/>
  <c r="R519" i="1"/>
  <c r="V744" i="6"/>
  <c r="J751" i="6" s="1"/>
  <c r="GM398" i="1"/>
  <c r="T618" i="6"/>
  <c r="J622" i="6" s="1"/>
  <c r="I624" i="6" s="1"/>
  <c r="CZ525" i="1"/>
  <c r="Y525" i="1" s="1"/>
  <c r="T788" i="6" s="1"/>
  <c r="J792" i="6" s="1"/>
  <c r="I794" i="6" s="1"/>
  <c r="CY519" i="1"/>
  <c r="X519" i="1" s="1"/>
  <c r="R744" i="6" s="1"/>
  <c r="J749" i="6" s="1"/>
  <c r="I753" i="6" s="1"/>
  <c r="CY403" i="1"/>
  <c r="X403" i="1" s="1"/>
  <c r="R654" i="6" s="1"/>
  <c r="J657" i="6" s="1"/>
  <c r="CZ80" i="1"/>
  <c r="Y80" i="1" s="1"/>
  <c r="T135" i="6" s="1"/>
  <c r="J139" i="6" s="1"/>
  <c r="J136" i="6"/>
  <c r="R222" i="1"/>
  <c r="GK222" i="1" s="1"/>
  <c r="V391" i="6"/>
  <c r="R399" i="1"/>
  <c r="GK399" i="1" s="1"/>
  <c r="GP399" i="1" s="1"/>
  <c r="V625" i="6"/>
  <c r="I90" i="6"/>
  <c r="CP400" i="1"/>
  <c r="O400" i="1" s="1"/>
  <c r="GP400" i="1" s="1"/>
  <c r="J635" i="6"/>
  <c r="S102" i="6"/>
  <c r="GK41" i="1"/>
  <c r="J110" i="6"/>
  <c r="V604" i="6"/>
  <c r="R396" i="1"/>
  <c r="GK396" i="1" s="1"/>
  <c r="CP32" i="1"/>
  <c r="O32" i="1" s="1"/>
  <c r="CP407" i="1"/>
  <c r="O407" i="1" s="1"/>
  <c r="AL87" i="1"/>
  <c r="Y87" i="1" s="1"/>
  <c r="T142" i="6"/>
  <c r="J147" i="6" s="1"/>
  <c r="R270" i="1"/>
  <c r="V491" i="6"/>
  <c r="J497" i="6" s="1"/>
  <c r="CP520" i="1"/>
  <c r="O520" i="1" s="1"/>
  <c r="J758" i="6"/>
  <c r="I316" i="6"/>
  <c r="J612" i="6"/>
  <c r="CZ397" i="1"/>
  <c r="Y397" i="1" s="1"/>
  <c r="T611" i="6" s="1"/>
  <c r="J615" i="6" s="1"/>
  <c r="CY397" i="1"/>
  <c r="X397" i="1" s="1"/>
  <c r="R611" i="6" s="1"/>
  <c r="J614" i="6" s="1"/>
  <c r="V60" i="6"/>
  <c r="R33" i="1"/>
  <c r="GK33" i="1" s="1"/>
  <c r="J668" i="6"/>
  <c r="CY406" i="1"/>
  <c r="X406" i="1" s="1"/>
  <c r="R667" i="6" s="1"/>
  <c r="J672" i="6" s="1"/>
  <c r="CZ406" i="1"/>
  <c r="Y406" i="1" s="1"/>
  <c r="T667" i="6" s="1"/>
  <c r="J673" i="6" s="1"/>
  <c r="GK520" i="1"/>
  <c r="J757" i="6"/>
  <c r="R403" i="1"/>
  <c r="GK403" i="1" s="1"/>
  <c r="V654" i="6"/>
  <c r="R133" i="1"/>
  <c r="GK133" i="1" s="1"/>
  <c r="V243" i="6"/>
  <c r="R409" i="1"/>
  <c r="GK409" i="1" s="1"/>
  <c r="GM409" i="1" s="1"/>
  <c r="V693" i="6"/>
  <c r="Q102" i="6"/>
  <c r="R38" i="1"/>
  <c r="GK38" i="1" s="1"/>
  <c r="GM38" i="1" s="1"/>
  <c r="V98" i="6"/>
  <c r="I41" i="6"/>
  <c r="CP127" i="1"/>
  <c r="O127" i="1" s="1"/>
  <c r="I505" i="6"/>
  <c r="CZ214" i="1"/>
  <c r="Y214" i="1" s="1"/>
  <c r="T329" i="6" s="1"/>
  <c r="J333" i="6" s="1"/>
  <c r="AF273" i="1"/>
  <c r="CZ213" i="1"/>
  <c r="Y213" i="1" s="1"/>
  <c r="T323" i="6" s="1"/>
  <c r="J326" i="6" s="1"/>
  <c r="I328" i="6" s="1"/>
  <c r="CY395" i="1"/>
  <c r="X395" i="1" s="1"/>
  <c r="R597" i="6" s="1"/>
  <c r="J600" i="6" s="1"/>
  <c r="CY223" i="1"/>
  <c r="X223" i="1" s="1"/>
  <c r="R397" i="6" s="1"/>
  <c r="J403" i="6" s="1"/>
  <c r="I407" i="6" s="1"/>
  <c r="AF360" i="1"/>
  <c r="S360" i="1" s="1"/>
  <c r="CP396" i="1"/>
  <c r="O396" i="1" s="1"/>
  <c r="GP396" i="1" s="1"/>
  <c r="J606" i="6"/>
  <c r="I610" i="6" s="1"/>
  <c r="CY524" i="1"/>
  <c r="X524" i="1" s="1"/>
  <c r="R213" i="1"/>
  <c r="GK213" i="1" s="1"/>
  <c r="V323" i="6"/>
  <c r="I432" i="6"/>
  <c r="K48" i="6"/>
  <c r="CZ78" i="1"/>
  <c r="Y78" i="1" s="1"/>
  <c r="T128" i="6" s="1"/>
  <c r="J132" i="6" s="1"/>
  <c r="J130" i="6"/>
  <c r="CY78" i="1"/>
  <c r="X78" i="1" s="1"/>
  <c r="I686" i="6"/>
  <c r="U102" i="6"/>
  <c r="I699" i="6"/>
  <c r="CP521" i="1"/>
  <c r="O521" i="1" s="1"/>
  <c r="GP521" i="1" s="1"/>
  <c r="I279" i="6"/>
  <c r="GK269" i="1"/>
  <c r="GP269" i="1" s="1"/>
  <c r="J484" i="6"/>
  <c r="GM353" i="1"/>
  <c r="GP353" i="1"/>
  <c r="AL75" i="1"/>
  <c r="T43" i="1"/>
  <c r="AH343" i="1"/>
  <c r="U360" i="1"/>
  <c r="AH209" i="1"/>
  <c r="U231" i="1"/>
  <c r="AZ136" i="1"/>
  <c r="CI119" i="1"/>
  <c r="GM357" i="1"/>
  <c r="GP357" i="1"/>
  <c r="AG343" i="1"/>
  <c r="T360" i="1"/>
  <c r="AD209" i="1"/>
  <c r="Q231" i="1"/>
  <c r="AI263" i="1"/>
  <c r="V273" i="1"/>
  <c r="V360" i="1"/>
  <c r="AI343" i="1"/>
  <c r="GP358" i="1"/>
  <c r="GM358" i="1"/>
  <c r="AH263" i="1"/>
  <c r="U273" i="1"/>
  <c r="AI168" i="1"/>
  <c r="V177" i="1"/>
  <c r="GP174" i="1"/>
  <c r="GM411" i="1"/>
  <c r="AG209" i="1"/>
  <c r="T231" i="1"/>
  <c r="AG263" i="1"/>
  <c r="T273" i="1"/>
  <c r="GP229" i="1"/>
  <c r="AJ343" i="1"/>
  <c r="W360" i="1"/>
  <c r="BA360" i="1"/>
  <c r="CJ343" i="1"/>
  <c r="AJ263" i="1"/>
  <c r="W273" i="1"/>
  <c r="AI119" i="1"/>
  <c r="V136" i="1"/>
  <c r="GM219" i="1"/>
  <c r="GP219" i="1"/>
  <c r="W136" i="1"/>
  <c r="BA273" i="1"/>
  <c r="CJ263" i="1"/>
  <c r="W231" i="1"/>
  <c r="AJ209" i="1"/>
  <c r="BZ263" i="1"/>
  <c r="AQ273" i="1"/>
  <c r="CG273" i="1"/>
  <c r="GP402" i="1"/>
  <c r="GM402" i="1"/>
  <c r="V527" i="1"/>
  <c r="AI513" i="1"/>
  <c r="GM515" i="1"/>
  <c r="GP515" i="1"/>
  <c r="F197" i="1"/>
  <c r="BA168" i="1"/>
  <c r="CH559" i="1"/>
  <c r="AY564" i="1"/>
  <c r="AF343" i="1"/>
  <c r="GK516" i="1"/>
  <c r="GM516" i="1" s="1"/>
  <c r="CC392" i="1"/>
  <c r="AT413" i="1"/>
  <c r="GP522" i="1"/>
  <c r="GM522" i="1"/>
  <c r="AV559" i="1"/>
  <c r="F569" i="1"/>
  <c r="AD513" i="1"/>
  <c r="Q527" i="1"/>
  <c r="Q273" i="1"/>
  <c r="AD263" i="1"/>
  <c r="AG119" i="1"/>
  <c r="T136" i="1"/>
  <c r="AT263" i="1"/>
  <c r="F291" i="1"/>
  <c r="CI559" i="1"/>
  <c r="AZ564" i="1"/>
  <c r="CY351" i="1"/>
  <c r="X351" i="1" s="1"/>
  <c r="R537" i="6" s="1"/>
  <c r="J540" i="6" s="1"/>
  <c r="CZ351" i="1"/>
  <c r="Y351" i="1" s="1"/>
  <c r="AS513" i="1"/>
  <c r="AS594" i="1"/>
  <c r="F544" i="1"/>
  <c r="AT594" i="1"/>
  <c r="F545" i="1"/>
  <c r="AT513" i="1"/>
  <c r="GP129" i="1"/>
  <c r="AS263" i="1"/>
  <c r="F290" i="1"/>
  <c r="GM394" i="1"/>
  <c r="GP394" i="1"/>
  <c r="CP351" i="1"/>
  <c r="O351" i="1" s="1"/>
  <c r="AI392" i="1"/>
  <c r="V413" i="1"/>
  <c r="T87" i="1"/>
  <c r="AG75" i="1"/>
  <c r="CH87" i="1"/>
  <c r="CE87" i="1"/>
  <c r="CF87" i="1"/>
  <c r="AC75" i="1"/>
  <c r="P87" i="1"/>
  <c r="AO119" i="1"/>
  <c r="F140" i="1"/>
  <c r="AO303" i="1"/>
  <c r="GM265" i="1"/>
  <c r="GP265" i="1"/>
  <c r="CC343" i="1"/>
  <c r="AT360" i="1"/>
  <c r="GP271" i="1"/>
  <c r="CP221" i="1"/>
  <c r="O221" i="1" s="1"/>
  <c r="AI209" i="1"/>
  <c r="V231" i="1"/>
  <c r="CE413" i="1"/>
  <c r="CF413" i="1"/>
  <c r="AC392" i="1"/>
  <c r="CH413" i="1"/>
  <c r="P413" i="1"/>
  <c r="BB559" i="1"/>
  <c r="F577" i="1"/>
  <c r="BB335" i="1"/>
  <c r="F486" i="1"/>
  <c r="AQ443" i="1"/>
  <c r="AQ343" i="1"/>
  <c r="F370" i="1"/>
  <c r="CI513" i="1"/>
  <c r="AZ527" i="1"/>
  <c r="AZ360" i="1"/>
  <c r="CI343" i="1"/>
  <c r="GM403" i="1"/>
  <c r="GP403" i="1"/>
  <c r="CJ119" i="1"/>
  <c r="BA136" i="1"/>
  <c r="AG168" i="1"/>
  <c r="T177" i="1"/>
  <c r="GP346" i="1"/>
  <c r="GM346" i="1"/>
  <c r="CG513" i="1"/>
  <c r="AX527" i="1"/>
  <c r="F536" i="1"/>
  <c r="AP594" i="1"/>
  <c r="AP513" i="1"/>
  <c r="AP343" i="1"/>
  <c r="F369" i="1"/>
  <c r="AP443" i="1"/>
  <c r="GK212" i="1"/>
  <c r="GM212" i="1" s="1"/>
  <c r="AP119" i="1"/>
  <c r="F145" i="1"/>
  <c r="AS360" i="1"/>
  <c r="CB343" i="1"/>
  <c r="AF168" i="1"/>
  <c r="S177" i="1"/>
  <c r="GM226" i="1"/>
  <c r="GP226" i="1"/>
  <c r="AQ513" i="1"/>
  <c r="AQ594" i="1"/>
  <c r="F537" i="1"/>
  <c r="GM408" i="1"/>
  <c r="GP408" i="1"/>
  <c r="AK527" i="1"/>
  <c r="GP172" i="1"/>
  <c r="V87" i="1"/>
  <c r="AI75" i="1"/>
  <c r="F97" i="1"/>
  <c r="AQ75" i="1"/>
  <c r="GP123" i="1"/>
  <c r="GM123" i="1"/>
  <c r="GM222" i="1"/>
  <c r="GP222" i="1"/>
  <c r="GM348" i="1"/>
  <c r="GP348" i="1"/>
  <c r="BD594" i="1"/>
  <c r="F552" i="1"/>
  <c r="BD513" i="1"/>
  <c r="GP517" i="1"/>
  <c r="S527" i="1"/>
  <c r="AF513" i="1"/>
  <c r="GM84" i="1"/>
  <c r="GP84" i="1"/>
  <c r="CB209" i="1"/>
  <c r="AS231" i="1"/>
  <c r="F181" i="1"/>
  <c r="AO168" i="1"/>
  <c r="AD136" i="1"/>
  <c r="AS177" i="1"/>
  <c r="CB168" i="1"/>
  <c r="CP354" i="1"/>
  <c r="O354" i="1" s="1"/>
  <c r="GM345" i="1"/>
  <c r="F582" i="1"/>
  <c r="AT559" i="1"/>
  <c r="GM356" i="1"/>
  <c r="GM77" i="1"/>
  <c r="GP77" i="1"/>
  <c r="AB87" i="1"/>
  <c r="AT177" i="1"/>
  <c r="CC168" i="1"/>
  <c r="GM34" i="1"/>
  <c r="GP34" i="1"/>
  <c r="CP211" i="1"/>
  <c r="O211" i="1" s="1"/>
  <c r="AC231" i="1"/>
  <c r="F112" i="1"/>
  <c r="BD75" i="1"/>
  <c r="BD303" i="1"/>
  <c r="BY209" i="1"/>
  <c r="AP231" i="1"/>
  <c r="AP303" i="1" s="1"/>
  <c r="CI231" i="1"/>
  <c r="W413" i="1"/>
  <c r="AJ392" i="1"/>
  <c r="U527" i="1"/>
  <c r="AH513" i="1"/>
  <c r="AG392" i="1"/>
  <c r="T413" i="1"/>
  <c r="GP561" i="1"/>
  <c r="GM561" i="1"/>
  <c r="F422" i="1"/>
  <c r="AP392" i="1"/>
  <c r="CY128" i="1"/>
  <c r="X128" i="1" s="1"/>
  <c r="CZ128" i="1"/>
  <c r="Y128" i="1" s="1"/>
  <c r="T228" i="6" s="1"/>
  <c r="J232" i="6" s="1"/>
  <c r="BD168" i="1"/>
  <c r="F202" i="1"/>
  <c r="BA87" i="1"/>
  <c r="CJ75" i="1"/>
  <c r="CC26" i="1"/>
  <c r="AT43" i="1"/>
  <c r="GM30" i="1"/>
  <c r="GP30" i="1"/>
  <c r="GP214" i="1"/>
  <c r="GP131" i="1"/>
  <c r="AK136" i="1"/>
  <c r="GP397" i="1"/>
  <c r="CG392" i="1"/>
  <c r="AX413" i="1"/>
  <c r="BB594" i="1"/>
  <c r="BB513" i="1"/>
  <c r="F540" i="1"/>
  <c r="CI392" i="1"/>
  <c r="AZ413" i="1"/>
  <c r="F423" i="1"/>
  <c r="AQ392" i="1"/>
  <c r="GP29" i="1"/>
  <c r="GM29" i="1"/>
  <c r="AF26" i="1"/>
  <c r="S43" i="1"/>
  <c r="AH168" i="1"/>
  <c r="U177" i="1"/>
  <c r="CP270" i="1"/>
  <c r="O270" i="1" s="1"/>
  <c r="AF136" i="1"/>
  <c r="GM410" i="1"/>
  <c r="GP410" i="1"/>
  <c r="GP266" i="1"/>
  <c r="GM266" i="1"/>
  <c r="F592" i="1"/>
  <c r="AR559" i="1"/>
  <c r="F570" i="1"/>
  <c r="AW559" i="1"/>
  <c r="AC513" i="1"/>
  <c r="CE527" i="1"/>
  <c r="CF527" i="1"/>
  <c r="CH527" i="1"/>
  <c r="P527" i="1"/>
  <c r="BA527" i="1"/>
  <c r="CJ513" i="1"/>
  <c r="BD339" i="1"/>
  <c r="F468" i="1"/>
  <c r="BD473" i="1"/>
  <c r="AQ136" i="1"/>
  <c r="BZ119" i="1"/>
  <c r="BC168" i="1"/>
  <c r="F193" i="1"/>
  <c r="CG136" i="1"/>
  <c r="AH136" i="1"/>
  <c r="U87" i="1"/>
  <c r="AH75" i="1"/>
  <c r="CG75" i="1"/>
  <c r="AX87" i="1"/>
  <c r="AT75" i="1"/>
  <c r="F105" i="1"/>
  <c r="CC119" i="1"/>
  <c r="AT136" i="1"/>
  <c r="AC136" i="1"/>
  <c r="CP121" i="1"/>
  <c r="O121" i="1" s="1"/>
  <c r="AC177" i="1"/>
  <c r="GP134" i="1"/>
  <c r="GM217" i="1"/>
  <c r="GP217" i="1"/>
  <c r="F459" i="1"/>
  <c r="BC339" i="1"/>
  <c r="BC473" i="1"/>
  <c r="AO335" i="1"/>
  <c r="F477" i="1"/>
  <c r="AD413" i="1"/>
  <c r="AE360" i="1"/>
  <c r="GK347" i="1"/>
  <c r="W527" i="1"/>
  <c r="AJ513" i="1"/>
  <c r="BA413" i="1"/>
  <c r="CJ392" i="1"/>
  <c r="GK267" i="1"/>
  <c r="S87" i="1"/>
  <c r="AF75" i="1"/>
  <c r="AQ43" i="1"/>
  <c r="BZ26" i="1"/>
  <c r="CG43" i="1"/>
  <c r="CI43" i="1"/>
  <c r="F60" i="1"/>
  <c r="AS26" i="1"/>
  <c r="CG168" i="1"/>
  <c r="AX177" i="1"/>
  <c r="GP41" i="1"/>
  <c r="GM41" i="1"/>
  <c r="CY31" i="1"/>
  <c r="X31" i="1" s="1"/>
  <c r="GP31" i="1" s="1"/>
  <c r="CZ31" i="1"/>
  <c r="Y31" i="1" s="1"/>
  <c r="CP37" i="1"/>
  <c r="O37" i="1" s="1"/>
  <c r="CI75" i="1"/>
  <c r="AZ87" i="1"/>
  <c r="F104" i="1"/>
  <c r="AS75" i="1"/>
  <c r="AS136" i="1"/>
  <c r="CB119" i="1"/>
  <c r="GP81" i="1"/>
  <c r="GM81" i="1"/>
  <c r="CY224" i="1"/>
  <c r="X224" i="1" s="1"/>
  <c r="CZ224" i="1"/>
  <c r="Y224" i="1" s="1"/>
  <c r="T408" i="6" s="1"/>
  <c r="J415" i="6" s="1"/>
  <c r="BD209" i="1"/>
  <c r="F256" i="1"/>
  <c r="AX360" i="1"/>
  <c r="CG343" i="1"/>
  <c r="CG559" i="1"/>
  <c r="AX564" i="1"/>
  <c r="GM269" i="1"/>
  <c r="AD360" i="1"/>
  <c r="CP347" i="1"/>
  <c r="O347" i="1" s="1"/>
  <c r="GP518" i="1"/>
  <c r="AH392" i="1"/>
  <c r="U413" i="1"/>
  <c r="F548" i="1"/>
  <c r="T513" i="1"/>
  <c r="T594" i="1"/>
  <c r="CP28" i="1"/>
  <c r="O28" i="1" s="1"/>
  <c r="AC43" i="1"/>
  <c r="GM213" i="1"/>
  <c r="GP213" i="1"/>
  <c r="GM122" i="1"/>
  <c r="GP122" i="1"/>
  <c r="CG209" i="1"/>
  <c r="AX231" i="1"/>
  <c r="AQ209" i="1"/>
  <c r="F241" i="1"/>
  <c r="GM520" i="1"/>
  <c r="GP520" i="1"/>
  <c r="AS392" i="1"/>
  <c r="F430" i="1"/>
  <c r="GM523" i="1"/>
  <c r="AC343" i="1"/>
  <c r="P360" i="1"/>
  <c r="CE360" i="1"/>
  <c r="CF360" i="1"/>
  <c r="CH360" i="1"/>
  <c r="W177" i="1"/>
  <c r="AJ168" i="1"/>
  <c r="GP83" i="1"/>
  <c r="AK87" i="1"/>
  <c r="AQ177" i="1"/>
  <c r="BZ168" i="1"/>
  <c r="GP132" i="1"/>
  <c r="GM132" i="1"/>
  <c r="W75" i="1"/>
  <c r="F111" i="1"/>
  <c r="GM133" i="1"/>
  <c r="GP133" i="1"/>
  <c r="CY225" i="1"/>
  <c r="X225" i="1" s="1"/>
  <c r="AK231" i="1" s="1"/>
  <c r="CZ225" i="1"/>
  <c r="Y225" i="1" s="1"/>
  <c r="AJ43" i="1"/>
  <c r="F56" i="1"/>
  <c r="BB26" i="1"/>
  <c r="BB303" i="1"/>
  <c r="BC26" i="1"/>
  <c r="F59" i="1"/>
  <c r="BC303" i="1"/>
  <c r="CI177" i="1"/>
  <c r="GM170" i="1"/>
  <c r="GP170" i="1"/>
  <c r="BY263" i="1"/>
  <c r="CI273" i="1"/>
  <c r="AP273" i="1"/>
  <c r="CP267" i="1"/>
  <c r="O267" i="1" s="1"/>
  <c r="AC273" i="1"/>
  <c r="F235" i="1"/>
  <c r="AO209" i="1"/>
  <c r="S273" i="1"/>
  <c r="AF263" i="1"/>
  <c r="AT209" i="1"/>
  <c r="F249" i="1"/>
  <c r="F579" i="1"/>
  <c r="S559" i="1"/>
  <c r="BC505" i="1"/>
  <c r="F640" i="1"/>
  <c r="K624" i="6" l="1"/>
  <c r="P624" i="6"/>
  <c r="P383" i="6"/>
  <c r="K383" i="6"/>
  <c r="P227" i="6"/>
  <c r="K227" i="6"/>
  <c r="CJ26" i="1"/>
  <c r="BA43" i="1"/>
  <c r="BA26" i="1" s="1"/>
  <c r="P242" i="6"/>
  <c r="K242" i="6"/>
  <c r="P443" i="6"/>
  <c r="K443" i="6"/>
  <c r="K266" i="6"/>
  <c r="P266" i="6"/>
  <c r="K753" i="6"/>
  <c r="P753" i="6"/>
  <c r="P610" i="6"/>
  <c r="K610" i="6"/>
  <c r="K290" i="6"/>
  <c r="P290" i="6"/>
  <c r="K335" i="6"/>
  <c r="P335" i="6"/>
  <c r="P571" i="6"/>
  <c r="K571" i="6"/>
  <c r="P328" i="6"/>
  <c r="K328" i="6"/>
  <c r="K794" i="6"/>
  <c r="P794" i="6"/>
  <c r="GM407" i="1"/>
  <c r="GP349" i="1"/>
  <c r="P66" i="6"/>
  <c r="K66" i="6"/>
  <c r="GK220" i="1"/>
  <c r="J377" i="6"/>
  <c r="R408" i="6"/>
  <c r="J414" i="6" s="1"/>
  <c r="AB527" i="1"/>
  <c r="GK78" i="1"/>
  <c r="GP78" i="1" s="1"/>
  <c r="CD87" i="1" s="1"/>
  <c r="AE87" i="1"/>
  <c r="P603" i="6"/>
  <c r="K603" i="6"/>
  <c r="P201" i="6"/>
  <c r="K201" i="6"/>
  <c r="F598" i="1"/>
  <c r="AO509" i="1"/>
  <c r="AO624" i="1"/>
  <c r="P59" i="6"/>
  <c r="K59" i="6"/>
  <c r="P220" i="6"/>
  <c r="K220" i="6"/>
  <c r="K660" i="6"/>
  <c r="P660" i="6"/>
  <c r="Q87" i="1"/>
  <c r="F99" i="1" s="1"/>
  <c r="AE177" i="1"/>
  <c r="R177" i="1" s="1"/>
  <c r="I212" i="6"/>
  <c r="GP126" i="1"/>
  <c r="I549" i="6"/>
  <c r="J195" i="6"/>
  <c r="GK124" i="1"/>
  <c r="GP124" i="1" s="1"/>
  <c r="GM223" i="1"/>
  <c r="GM562" i="1"/>
  <c r="GP352" i="1"/>
  <c r="V43" i="1"/>
  <c r="F66" i="1" s="1"/>
  <c r="GM218" i="1"/>
  <c r="GP38" i="1"/>
  <c r="GM128" i="1"/>
  <c r="R228" i="6"/>
  <c r="J231" i="6" s="1"/>
  <c r="I234" i="6" s="1"/>
  <c r="AK413" i="1"/>
  <c r="GP130" i="1"/>
  <c r="GM525" i="1"/>
  <c r="GP268" i="1"/>
  <c r="P255" i="6"/>
  <c r="K255" i="6"/>
  <c r="J85" i="6"/>
  <c r="GK36" i="1"/>
  <c r="GK406" i="1"/>
  <c r="GP406" i="1" s="1"/>
  <c r="CD413" i="1" s="1"/>
  <c r="J670" i="6"/>
  <c r="GK32" i="1"/>
  <c r="GM32" i="1" s="1"/>
  <c r="J53" i="6"/>
  <c r="I451" i="6"/>
  <c r="I418" i="6"/>
  <c r="GP80" i="1"/>
  <c r="GK407" i="1"/>
  <c r="GP407" i="1" s="1"/>
  <c r="J680" i="6"/>
  <c r="GK349" i="1"/>
  <c r="GM349" i="1" s="1"/>
  <c r="J528" i="6"/>
  <c r="P584" i="6"/>
  <c r="K584" i="6"/>
  <c r="GM395" i="1"/>
  <c r="GP395" i="1"/>
  <c r="P631" i="6"/>
  <c r="K631" i="6"/>
  <c r="P272" i="6"/>
  <c r="K272" i="6"/>
  <c r="P556" i="6"/>
  <c r="K556" i="6"/>
  <c r="P646" i="6"/>
  <c r="K646" i="6"/>
  <c r="K141" i="6"/>
  <c r="P141" i="6"/>
  <c r="K763" i="6"/>
  <c r="P763" i="6"/>
  <c r="P407" i="6"/>
  <c r="K407" i="6"/>
  <c r="GK519" i="1"/>
  <c r="J747" i="6"/>
  <c r="I534" i="6"/>
  <c r="GM352" i="1"/>
  <c r="AE273" i="1"/>
  <c r="AE263" i="1" s="1"/>
  <c r="AE413" i="1"/>
  <c r="AE392" i="1" s="1"/>
  <c r="S413" i="1"/>
  <c r="F428" i="1" s="1"/>
  <c r="GP409" i="1"/>
  <c r="GP127" i="1"/>
  <c r="AH26" i="1"/>
  <c r="GP355" i="1"/>
  <c r="AE231" i="1"/>
  <c r="R231" i="1" s="1"/>
  <c r="AD168" i="1"/>
  <c r="GP39" i="1"/>
  <c r="I617" i="6"/>
  <c r="I714" i="6"/>
  <c r="I666" i="6"/>
  <c r="I639" i="6"/>
  <c r="GK227" i="1"/>
  <c r="J437" i="6"/>
  <c r="GK224" i="1"/>
  <c r="GM224" i="1" s="1"/>
  <c r="J412" i="6"/>
  <c r="GP228" i="1"/>
  <c r="I676" i="6"/>
  <c r="I499" i="6"/>
  <c r="K686" i="6"/>
  <c r="P686" i="6"/>
  <c r="GM78" i="1"/>
  <c r="CA87" i="1" s="1"/>
  <c r="R128" i="6"/>
  <c r="J131" i="6" s="1"/>
  <c r="I134" i="6" s="1"/>
  <c r="GM396" i="1"/>
  <c r="AL413" i="1"/>
  <c r="GM355" i="1"/>
  <c r="AK273" i="1"/>
  <c r="GM125" i="1"/>
  <c r="GM39" i="1"/>
  <c r="K432" i="6"/>
  <c r="P432" i="6"/>
  <c r="K505" i="6"/>
  <c r="P505" i="6"/>
  <c r="K316" i="6"/>
  <c r="P316" i="6"/>
  <c r="GK223" i="1"/>
  <c r="J401" i="6"/>
  <c r="GM521" i="1"/>
  <c r="T764" i="6"/>
  <c r="J770" i="6" s="1"/>
  <c r="I773" i="6" s="1"/>
  <c r="GM400" i="1"/>
  <c r="P365" i="6"/>
  <c r="K365" i="6"/>
  <c r="P736" i="6"/>
  <c r="K736" i="6"/>
  <c r="K743" i="6"/>
  <c r="P743" i="6"/>
  <c r="GM228" i="1"/>
  <c r="GP225" i="1"/>
  <c r="R419" i="6"/>
  <c r="J422" i="6" s="1"/>
  <c r="K149" i="6"/>
  <c r="P149" i="6"/>
  <c r="P699" i="6"/>
  <c r="K699" i="6"/>
  <c r="P90" i="6"/>
  <c r="K90" i="6"/>
  <c r="P305" i="6"/>
  <c r="K305" i="6"/>
  <c r="P190" i="6"/>
  <c r="K190" i="6"/>
  <c r="AE43" i="1"/>
  <c r="P298" i="6"/>
  <c r="K298" i="6"/>
  <c r="P97" i="6"/>
  <c r="K97" i="6"/>
  <c r="GM216" i="1"/>
  <c r="K345" i="6"/>
  <c r="P345" i="6"/>
  <c r="AL43" i="1"/>
  <c r="AL26" i="1" s="1"/>
  <c r="GM174" i="1"/>
  <c r="GM268" i="1"/>
  <c r="GK173" i="1"/>
  <c r="GP173" i="1" s="1"/>
  <c r="J284" i="6"/>
  <c r="CY39" i="1"/>
  <c r="X39" i="1" s="1"/>
  <c r="GM127" i="1"/>
  <c r="CZ39" i="1"/>
  <c r="Y39" i="1" s="1"/>
  <c r="T102" i="6" s="1"/>
  <c r="J104" i="6" s="1"/>
  <c r="AL136" i="1"/>
  <c r="Y136" i="1" s="1"/>
  <c r="GM35" i="1"/>
  <c r="GP171" i="1"/>
  <c r="GP85" i="1"/>
  <c r="S231" i="1"/>
  <c r="F246" i="1" s="1"/>
  <c r="AB413" i="1"/>
  <c r="GP401" i="1"/>
  <c r="GM405" i="1"/>
  <c r="AE527" i="1"/>
  <c r="AL273" i="1"/>
  <c r="Y273" i="1" s="1"/>
  <c r="BA231" i="1"/>
  <c r="F251" i="1" s="1"/>
  <c r="GM31" i="1"/>
  <c r="GP175" i="1"/>
  <c r="K780" i="6"/>
  <c r="P780" i="6"/>
  <c r="K458" i="6"/>
  <c r="P458" i="6"/>
  <c r="P707" i="6"/>
  <c r="K707" i="6"/>
  <c r="K563" i="6"/>
  <c r="P563" i="6"/>
  <c r="I472" i="6"/>
  <c r="K81" i="6"/>
  <c r="P81" i="6"/>
  <c r="K692" i="6"/>
  <c r="P692" i="6"/>
  <c r="GK215" i="1"/>
  <c r="GP215" i="1" s="1"/>
  <c r="J339" i="6"/>
  <c r="GP33" i="1"/>
  <c r="GK270" i="1"/>
  <c r="J494" i="6"/>
  <c r="AB177" i="1"/>
  <c r="GK121" i="1"/>
  <c r="GM171" i="1"/>
  <c r="AK360" i="1"/>
  <c r="AL177" i="1"/>
  <c r="P41" i="6"/>
  <c r="K41" i="6"/>
  <c r="GP223" i="1"/>
  <c r="I176" i="6"/>
  <c r="I351" i="6"/>
  <c r="I373" i="6"/>
  <c r="P73" i="6"/>
  <c r="K73" i="6"/>
  <c r="GK125" i="1"/>
  <c r="GP125" i="1" s="1"/>
  <c r="J206" i="6"/>
  <c r="GM33" i="1"/>
  <c r="P480" i="6"/>
  <c r="K480" i="6"/>
  <c r="AK177" i="1"/>
  <c r="GM227" i="1"/>
  <c r="GP227" i="1"/>
  <c r="AL231" i="1"/>
  <c r="T419" i="6"/>
  <c r="J423" i="6" s="1"/>
  <c r="AD43" i="1"/>
  <c r="GM397" i="1"/>
  <c r="AL527" i="1"/>
  <c r="Y527" i="1" s="1"/>
  <c r="AL360" i="1"/>
  <c r="T537" i="6"/>
  <c r="J541" i="6" s="1"/>
  <c r="I543" i="6" s="1"/>
  <c r="P279" i="6"/>
  <c r="K279" i="6"/>
  <c r="GM524" i="1"/>
  <c r="R781" i="6"/>
  <c r="J784" i="6" s="1"/>
  <c r="I787" i="6" s="1"/>
  <c r="I578" i="6"/>
  <c r="K396" i="6"/>
  <c r="P396" i="6"/>
  <c r="I524" i="6"/>
  <c r="I164" i="6"/>
  <c r="AP22" i="1"/>
  <c r="F312" i="1"/>
  <c r="G16" i="2" s="1"/>
  <c r="Y231" i="1"/>
  <c r="AL209" i="1"/>
  <c r="F433" i="1"/>
  <c r="BA392" i="1"/>
  <c r="AE209" i="1"/>
  <c r="P392" i="1"/>
  <c r="F416" i="1"/>
  <c r="AO22" i="1"/>
  <c r="F307" i="1"/>
  <c r="AO654" i="1"/>
  <c r="F431" i="1"/>
  <c r="AT392" i="1"/>
  <c r="V119" i="1"/>
  <c r="F159" i="1"/>
  <c r="U263" i="1"/>
  <c r="F295" i="1"/>
  <c r="BA119" i="1"/>
  <c r="F156" i="1"/>
  <c r="CH392" i="1"/>
  <c r="AY413" i="1"/>
  <c r="CG263" i="1"/>
  <c r="AX273" i="1"/>
  <c r="T119" i="1"/>
  <c r="F157" i="1"/>
  <c r="AE513" i="1"/>
  <c r="R527" i="1"/>
  <c r="AQ263" i="1"/>
  <c r="F283" i="1"/>
  <c r="W263" i="1"/>
  <c r="F297" i="1"/>
  <c r="AX136" i="1"/>
  <c r="CG119" i="1"/>
  <c r="F147" i="1"/>
  <c r="AZ119" i="1"/>
  <c r="CE392" i="1"/>
  <c r="AV413" i="1"/>
  <c r="S343" i="1"/>
  <c r="F375" i="1"/>
  <c r="T209" i="1"/>
  <c r="F252" i="1"/>
  <c r="F253" i="1"/>
  <c r="U209" i="1"/>
  <c r="F184" i="1"/>
  <c r="AX168" i="1"/>
  <c r="T392" i="1"/>
  <c r="F434" i="1"/>
  <c r="AT119" i="1"/>
  <c r="F154" i="1"/>
  <c r="AK343" i="1"/>
  <c r="X360" i="1"/>
  <c r="AP339" i="1"/>
  <c r="AP473" i="1"/>
  <c r="F452" i="1"/>
  <c r="AK263" i="1"/>
  <c r="X273" i="1"/>
  <c r="AW87" i="1"/>
  <c r="CF75" i="1"/>
  <c r="F612" i="1"/>
  <c r="AT624" i="1"/>
  <c r="AT509" i="1"/>
  <c r="Q263" i="1"/>
  <c r="F285" i="1"/>
  <c r="W209" i="1"/>
  <c r="F255" i="1"/>
  <c r="Q168" i="1"/>
  <c r="F189" i="1"/>
  <c r="F383" i="1"/>
  <c r="V443" i="1"/>
  <c r="V343" i="1"/>
  <c r="AZ273" i="1"/>
  <c r="CI263" i="1"/>
  <c r="AW527" i="1"/>
  <c r="CF513" i="1"/>
  <c r="F549" i="1"/>
  <c r="U513" i="1"/>
  <c r="U594" i="1"/>
  <c r="AZ343" i="1"/>
  <c r="F371" i="1"/>
  <c r="AZ443" i="1"/>
  <c r="CE75" i="1"/>
  <c r="AV87" i="1"/>
  <c r="AY559" i="1"/>
  <c r="F572" i="1"/>
  <c r="F382" i="1"/>
  <c r="U443" i="1"/>
  <c r="U343" i="1"/>
  <c r="U168" i="1"/>
  <c r="F199" i="1"/>
  <c r="AC119" i="1"/>
  <c r="CF136" i="1"/>
  <c r="CH136" i="1"/>
  <c r="P136" i="1"/>
  <c r="CE136" i="1"/>
  <c r="AZ513" i="1"/>
  <c r="F538" i="1"/>
  <c r="AZ594" i="1"/>
  <c r="AY87" i="1"/>
  <c r="CH75" i="1"/>
  <c r="AS509" i="1"/>
  <c r="F611" i="1"/>
  <c r="AS624" i="1"/>
  <c r="F293" i="1"/>
  <c r="BA263" i="1"/>
  <c r="F238" i="1"/>
  <c r="AX209" i="1"/>
  <c r="AY360" i="1"/>
  <c r="CH343" i="1"/>
  <c r="AT26" i="1"/>
  <c r="F61" i="1"/>
  <c r="AT303" i="1"/>
  <c r="W594" i="1"/>
  <c r="F551" i="1"/>
  <c r="W513" i="1"/>
  <c r="AB513" i="1"/>
  <c r="O527" i="1"/>
  <c r="BA75" i="1"/>
  <c r="F107" i="1"/>
  <c r="BC22" i="1"/>
  <c r="BC654" i="1"/>
  <c r="F319" i="1"/>
  <c r="CG26" i="1"/>
  <c r="AX43" i="1"/>
  <c r="R360" i="1"/>
  <c r="AE343" i="1"/>
  <c r="F498" i="1"/>
  <c r="BD335" i="1"/>
  <c r="GM354" i="1"/>
  <c r="GP354" i="1"/>
  <c r="F619" i="1"/>
  <c r="BD509" i="1"/>
  <c r="BD624" i="1"/>
  <c r="BD654" i="1" s="1"/>
  <c r="S168" i="1"/>
  <c r="F192" i="1"/>
  <c r="V209" i="1"/>
  <c r="F254" i="1"/>
  <c r="F539" i="1"/>
  <c r="Q594" i="1"/>
  <c r="Q513" i="1"/>
  <c r="V263" i="1"/>
  <c r="F296" i="1"/>
  <c r="AC209" i="1"/>
  <c r="P231" i="1"/>
  <c r="CE231" i="1"/>
  <c r="CF231" i="1"/>
  <c r="CH231" i="1"/>
  <c r="AL392" i="1"/>
  <c r="Y413" i="1"/>
  <c r="P75" i="1"/>
  <c r="F90" i="1"/>
  <c r="X413" i="1"/>
  <c r="AK392" i="1"/>
  <c r="F195" i="1"/>
  <c r="AT168" i="1"/>
  <c r="V75" i="1"/>
  <c r="F110" i="1"/>
  <c r="AP509" i="1"/>
  <c r="F603" i="1"/>
  <c r="AP624" i="1"/>
  <c r="T75" i="1"/>
  <c r="F108" i="1"/>
  <c r="BA443" i="1"/>
  <c r="F380" i="1"/>
  <c r="BA343" i="1"/>
  <c r="T26" i="1"/>
  <c r="F64" i="1"/>
  <c r="T303" i="1"/>
  <c r="AW413" i="1"/>
  <c r="CF392" i="1"/>
  <c r="CE343" i="1"/>
  <c r="AV360" i="1"/>
  <c r="GP516" i="1"/>
  <c r="F98" i="1"/>
  <c r="AZ75" i="1"/>
  <c r="AX392" i="1"/>
  <c r="F420" i="1"/>
  <c r="CI26" i="1"/>
  <c r="AZ43" i="1"/>
  <c r="GM221" i="1"/>
  <c r="GP221" i="1"/>
  <c r="V392" i="1"/>
  <c r="F436" i="1"/>
  <c r="BA209" i="1"/>
  <c r="F384" i="1"/>
  <c r="W443" i="1"/>
  <c r="W343" i="1"/>
  <c r="F243" i="1"/>
  <c r="Q209" i="1"/>
  <c r="GP128" i="1"/>
  <c r="AQ624" i="1"/>
  <c r="AQ509" i="1"/>
  <c r="F604" i="1"/>
  <c r="W168" i="1"/>
  <c r="F201" i="1"/>
  <c r="CE177" i="1"/>
  <c r="CF177" i="1"/>
  <c r="CH177" i="1"/>
  <c r="AC168" i="1"/>
  <c r="P177" i="1"/>
  <c r="GP121" i="1"/>
  <c r="GM121" i="1"/>
  <c r="AB136" i="1"/>
  <c r="CI168" i="1"/>
  <c r="AZ177" i="1"/>
  <c r="BB22" i="1"/>
  <c r="F316" i="1"/>
  <c r="AE26" i="1"/>
  <c r="R43" i="1"/>
  <c r="AD26" i="1"/>
  <c r="Q43" i="1"/>
  <c r="R413" i="1"/>
  <c r="F437" i="1"/>
  <c r="W392" i="1"/>
  <c r="GP212" i="1"/>
  <c r="AD119" i="1"/>
  <c r="Q136" i="1"/>
  <c r="AX513" i="1"/>
  <c r="F534" i="1"/>
  <c r="AX594" i="1"/>
  <c r="AQ339" i="1"/>
  <c r="AQ473" i="1"/>
  <c r="F453" i="1"/>
  <c r="X231" i="1"/>
  <c r="AK209" i="1"/>
  <c r="F58" i="1"/>
  <c r="S26" i="1"/>
  <c r="AS119" i="1"/>
  <c r="F153" i="1"/>
  <c r="AB360" i="1"/>
  <c r="GM347" i="1"/>
  <c r="GP347" i="1"/>
  <c r="AC26" i="1"/>
  <c r="P43" i="1"/>
  <c r="CE43" i="1"/>
  <c r="CF43" i="1"/>
  <c r="CH43" i="1"/>
  <c r="GP28" i="1"/>
  <c r="AB43" i="1"/>
  <c r="GM28" i="1"/>
  <c r="X136" i="1"/>
  <c r="AK119" i="1"/>
  <c r="F367" i="1"/>
  <c r="AX343" i="1"/>
  <c r="AX443" i="1"/>
  <c r="AE119" i="1"/>
  <c r="R136" i="1"/>
  <c r="T509" i="1"/>
  <c r="F615" i="1"/>
  <c r="T624" i="1"/>
  <c r="S75" i="1"/>
  <c r="F102" i="1"/>
  <c r="BC335" i="1"/>
  <c r="F489" i="1"/>
  <c r="AX75" i="1"/>
  <c r="F94" i="1"/>
  <c r="S136" i="1"/>
  <c r="S303" i="1" s="1"/>
  <c r="AF119" i="1"/>
  <c r="CI209" i="1"/>
  <c r="AZ231" i="1"/>
  <c r="AB75" i="1"/>
  <c r="O87" i="1"/>
  <c r="X527" i="1"/>
  <c r="AK513" i="1"/>
  <c r="AS343" i="1"/>
  <c r="AS443" i="1"/>
  <c r="F377" i="1"/>
  <c r="AT343" i="1"/>
  <c r="F378" i="1"/>
  <c r="AT443" i="1"/>
  <c r="GP351" i="1"/>
  <c r="GM351" i="1"/>
  <c r="Y360" i="1"/>
  <c r="AL343" i="1"/>
  <c r="GM225" i="1"/>
  <c r="F381" i="1"/>
  <c r="T343" i="1"/>
  <c r="T443" i="1"/>
  <c r="Y75" i="1"/>
  <c r="F114" i="1"/>
  <c r="AB168" i="1"/>
  <c r="O177" i="1"/>
  <c r="AB231" i="1"/>
  <c r="GM211" i="1"/>
  <c r="GP211" i="1"/>
  <c r="AS303" i="1"/>
  <c r="S594" i="1"/>
  <c r="F542" i="1"/>
  <c r="S513" i="1"/>
  <c r="P343" i="1"/>
  <c r="F363" i="1"/>
  <c r="P443" i="1"/>
  <c r="U26" i="1"/>
  <c r="F65" i="1"/>
  <c r="F571" i="1"/>
  <c r="AX559" i="1"/>
  <c r="Y177" i="1"/>
  <c r="AL168" i="1"/>
  <c r="V513" i="1"/>
  <c r="F550" i="1"/>
  <c r="V594" i="1"/>
  <c r="W119" i="1"/>
  <c r="F160" i="1"/>
  <c r="CE513" i="1"/>
  <c r="AV527" i="1"/>
  <c r="AD343" i="1"/>
  <c r="Q360" i="1"/>
  <c r="BB624" i="1"/>
  <c r="BB654" i="1" s="1"/>
  <c r="BB509" i="1"/>
  <c r="F607" i="1"/>
  <c r="AQ119" i="1"/>
  <c r="F146" i="1"/>
  <c r="GM37" i="1"/>
  <c r="GP37" i="1"/>
  <c r="AQ168" i="1"/>
  <c r="F187" i="1"/>
  <c r="F53" i="1"/>
  <c r="AQ26" i="1"/>
  <c r="AQ303" i="1"/>
  <c r="P273" i="1"/>
  <c r="AC263" i="1"/>
  <c r="CH273" i="1"/>
  <c r="CE273" i="1"/>
  <c r="CF273" i="1"/>
  <c r="F547" i="1"/>
  <c r="BA513" i="1"/>
  <c r="BA594" i="1"/>
  <c r="F530" i="1"/>
  <c r="P513" i="1"/>
  <c r="P594" i="1"/>
  <c r="AB392" i="1"/>
  <c r="O413" i="1"/>
  <c r="AZ559" i="1"/>
  <c r="F575" i="1"/>
  <c r="AL263" i="1"/>
  <c r="F294" i="1"/>
  <c r="T263" i="1"/>
  <c r="V168" i="1"/>
  <c r="F200" i="1"/>
  <c r="AH119" i="1"/>
  <c r="U136" i="1"/>
  <c r="F424" i="1"/>
  <c r="AZ392" i="1"/>
  <c r="AW360" i="1"/>
  <c r="CF343" i="1"/>
  <c r="AD392" i="1"/>
  <c r="Q413" i="1"/>
  <c r="F288" i="1"/>
  <c r="S263" i="1"/>
  <c r="AS168" i="1"/>
  <c r="F194" i="1"/>
  <c r="AK75" i="1"/>
  <c r="X87" i="1"/>
  <c r="AP209" i="1"/>
  <c r="F240" i="1"/>
  <c r="GM267" i="1"/>
  <c r="GP267" i="1"/>
  <c r="AB273" i="1"/>
  <c r="AP263" i="1"/>
  <c r="F282" i="1"/>
  <c r="W43" i="1"/>
  <c r="AJ26" i="1"/>
  <c r="U392" i="1"/>
  <c r="F435" i="1"/>
  <c r="U75" i="1"/>
  <c r="F109" i="1"/>
  <c r="AY527" i="1"/>
  <c r="CH513" i="1"/>
  <c r="GP270" i="1"/>
  <c r="GM270" i="1"/>
  <c r="BD22" i="1"/>
  <c r="F328" i="1"/>
  <c r="AS209" i="1"/>
  <c r="F248" i="1"/>
  <c r="F198" i="1"/>
  <c r="T168" i="1"/>
  <c r="CD177" i="1" l="1"/>
  <c r="P134" i="6"/>
  <c r="K134" i="6"/>
  <c r="K543" i="6"/>
  <c r="P543" i="6"/>
  <c r="K639" i="6"/>
  <c r="P639" i="6"/>
  <c r="AK168" i="1"/>
  <c r="X177" i="1"/>
  <c r="AE168" i="1"/>
  <c r="CA43" i="1"/>
  <c r="AR43" i="1" s="1"/>
  <c r="K773" i="6"/>
  <c r="P773" i="6"/>
  <c r="GM215" i="1"/>
  <c r="CA231" i="1" s="1"/>
  <c r="GP519" i="1"/>
  <c r="GM519" i="1"/>
  <c r="CA527" i="1" s="1"/>
  <c r="K499" i="6"/>
  <c r="P499" i="6"/>
  <c r="AL119" i="1"/>
  <c r="P164" i="6"/>
  <c r="K164" i="6"/>
  <c r="K472" i="6"/>
  <c r="P472" i="6"/>
  <c r="I507" i="6" s="1"/>
  <c r="P418" i="6"/>
  <c r="K418" i="6"/>
  <c r="GM124" i="1"/>
  <c r="P176" i="6"/>
  <c r="K176" i="6"/>
  <c r="K676" i="6"/>
  <c r="P676" i="6"/>
  <c r="K534" i="6"/>
  <c r="P534" i="6"/>
  <c r="I722" i="6" s="1"/>
  <c r="S443" i="1"/>
  <c r="F458" i="1" s="1"/>
  <c r="CD527" i="1"/>
  <c r="AU527" i="1" s="1"/>
  <c r="V303" i="1"/>
  <c r="Y43" i="1"/>
  <c r="R273" i="1"/>
  <c r="S392" i="1"/>
  <c r="BA303" i="1"/>
  <c r="Q75" i="1"/>
  <c r="P524" i="6"/>
  <c r="K524" i="6"/>
  <c r="R102" i="6"/>
  <c r="J103" i="6" s="1"/>
  <c r="I106" i="6" s="1"/>
  <c r="AK43" i="1"/>
  <c r="I425" i="6"/>
  <c r="K451" i="6"/>
  <c r="P451" i="6"/>
  <c r="P549" i="6"/>
  <c r="K549" i="6"/>
  <c r="I307" i="6"/>
  <c r="GP224" i="1"/>
  <c r="CA136" i="1"/>
  <c r="P666" i="6"/>
  <c r="K666" i="6"/>
  <c r="GM36" i="1"/>
  <c r="GP36" i="1"/>
  <c r="V26" i="1"/>
  <c r="F63" i="1"/>
  <c r="GM406" i="1"/>
  <c r="CA413" i="1" s="1"/>
  <c r="P234" i="6"/>
  <c r="K234" i="6"/>
  <c r="GP32" i="1"/>
  <c r="CD136" i="1"/>
  <c r="CD119" i="1" s="1"/>
  <c r="I796" i="6"/>
  <c r="I804" i="6"/>
  <c r="I807" i="6"/>
  <c r="K714" i="6"/>
  <c r="P714" i="6"/>
  <c r="P617" i="6"/>
  <c r="K617" i="6"/>
  <c r="R87" i="1"/>
  <c r="AE75" i="1"/>
  <c r="S209" i="1"/>
  <c r="AL513" i="1"/>
  <c r="K373" i="6"/>
  <c r="P373" i="6"/>
  <c r="F628" i="1"/>
  <c r="AO505" i="1"/>
  <c r="K787" i="6"/>
  <c r="P787" i="6"/>
  <c r="P212" i="6"/>
  <c r="K212" i="6"/>
  <c r="P578" i="6"/>
  <c r="K578" i="6"/>
  <c r="K351" i="6"/>
  <c r="P351" i="6"/>
  <c r="GM173" i="1"/>
  <c r="CA177" i="1" s="1"/>
  <c r="GP220" i="1"/>
  <c r="CD231" i="1" s="1"/>
  <c r="GM220" i="1"/>
  <c r="BA22" i="1"/>
  <c r="F323" i="1"/>
  <c r="F418" i="1"/>
  <c r="AV392" i="1"/>
  <c r="R513" i="1"/>
  <c r="F541" i="1"/>
  <c r="R594" i="1"/>
  <c r="AO18" i="1"/>
  <c r="F658" i="1"/>
  <c r="W473" i="1"/>
  <c r="F467" i="1"/>
  <c r="W339" i="1"/>
  <c r="AV75" i="1"/>
  <c r="F92" i="1"/>
  <c r="X75" i="1"/>
  <c r="F113" i="1"/>
  <c r="AX263" i="1"/>
  <c r="F280" i="1"/>
  <c r="Y119" i="1"/>
  <c r="F163" i="1"/>
  <c r="F245" i="1"/>
  <c r="R209" i="1"/>
  <c r="AX339" i="1"/>
  <c r="AX473" i="1"/>
  <c r="F450" i="1"/>
  <c r="V509" i="1"/>
  <c r="F617" i="1"/>
  <c r="V624" i="1"/>
  <c r="W509" i="1"/>
  <c r="W624" i="1"/>
  <c r="F618" i="1"/>
  <c r="U119" i="1"/>
  <c r="F158" i="1"/>
  <c r="R392" i="1"/>
  <c r="F427" i="1"/>
  <c r="AV136" i="1"/>
  <c r="CE119" i="1"/>
  <c r="X119" i="1"/>
  <c r="F162" i="1"/>
  <c r="CE168" i="1"/>
  <c r="AV177" i="1"/>
  <c r="F50" i="1"/>
  <c r="AX26" i="1"/>
  <c r="AX303" i="1"/>
  <c r="F368" i="1"/>
  <c r="AY343" i="1"/>
  <c r="AY443" i="1"/>
  <c r="AW136" i="1"/>
  <c r="CF119" i="1"/>
  <c r="U509" i="1"/>
  <c r="F616" i="1"/>
  <c r="U624" i="1"/>
  <c r="AY75" i="1"/>
  <c r="F95" i="1"/>
  <c r="AU136" i="1"/>
  <c r="AV343" i="1"/>
  <c r="F365" i="1"/>
  <c r="AV443" i="1"/>
  <c r="BA509" i="1"/>
  <c r="F614" i="1"/>
  <c r="BA624" i="1"/>
  <c r="CA392" i="1"/>
  <c r="AR413" i="1"/>
  <c r="Q509" i="1"/>
  <c r="Q624" i="1"/>
  <c r="F606" i="1"/>
  <c r="AT505" i="1"/>
  <c r="F642" i="1"/>
  <c r="F18" i="2" s="1"/>
  <c r="AZ509" i="1"/>
  <c r="AZ624" i="1"/>
  <c r="F605" i="1"/>
  <c r="AB209" i="1"/>
  <c r="O231" i="1"/>
  <c r="F483" i="1"/>
  <c r="AQ335" i="1"/>
  <c r="BB18" i="1"/>
  <c r="F667" i="1"/>
  <c r="F54" i="1"/>
  <c r="AZ26" i="1"/>
  <c r="AZ303" i="1"/>
  <c r="T22" i="1"/>
  <c r="F324" i="1"/>
  <c r="V22" i="1"/>
  <c r="F326" i="1"/>
  <c r="AZ339" i="1"/>
  <c r="AZ473" i="1"/>
  <c r="F454" i="1"/>
  <c r="CH168" i="1"/>
  <c r="AY177" i="1"/>
  <c r="P119" i="1"/>
  <c r="F139" i="1"/>
  <c r="R343" i="1"/>
  <c r="F374" i="1"/>
  <c r="R443" i="1"/>
  <c r="F57" i="1"/>
  <c r="R26" i="1"/>
  <c r="R303" i="1"/>
  <c r="CA119" i="1"/>
  <c r="AR136" i="1"/>
  <c r="X343" i="1"/>
  <c r="X443" i="1"/>
  <c r="F386" i="1"/>
  <c r="AT22" i="1"/>
  <c r="F321" i="1"/>
  <c r="F16" i="2" s="1"/>
  <c r="AY136" i="1"/>
  <c r="CH119" i="1"/>
  <c r="F287" i="1"/>
  <c r="R263" i="1"/>
  <c r="CF26" i="1"/>
  <c r="AW43" i="1"/>
  <c r="Y263" i="1"/>
  <c r="F300" i="1"/>
  <c r="AY273" i="1"/>
  <c r="CH263" i="1"/>
  <c r="BB505" i="1"/>
  <c r="F637" i="1"/>
  <c r="U303" i="1"/>
  <c r="X594" i="1"/>
  <c r="F553" i="1"/>
  <c r="X513" i="1"/>
  <c r="CE26" i="1"/>
  <c r="AV43" i="1"/>
  <c r="AX509" i="1"/>
  <c r="F601" i="1"/>
  <c r="AX624" i="1"/>
  <c r="F439" i="1"/>
  <c r="X392" i="1"/>
  <c r="AW513" i="1"/>
  <c r="F533" i="1"/>
  <c r="AW594" i="1"/>
  <c r="AW75" i="1"/>
  <c r="F93" i="1"/>
  <c r="AX119" i="1"/>
  <c r="F143" i="1"/>
  <c r="CA75" i="1"/>
  <c r="AR87" i="1"/>
  <c r="CH209" i="1"/>
  <c r="AY231" i="1"/>
  <c r="P509" i="1"/>
  <c r="F597" i="1"/>
  <c r="P624" i="1"/>
  <c r="CE209" i="1"/>
  <c r="AV231" i="1"/>
  <c r="S22" i="1"/>
  <c r="F318" i="1"/>
  <c r="Y513" i="1"/>
  <c r="Y594" i="1"/>
  <c r="F554" i="1"/>
  <c r="S119" i="1"/>
  <c r="F151" i="1"/>
  <c r="CF168" i="1"/>
  <c r="AW177" i="1"/>
  <c r="AB26" i="1"/>
  <c r="O43" i="1"/>
  <c r="R168" i="1"/>
  <c r="F191" i="1"/>
  <c r="O168" i="1"/>
  <c r="F179" i="1"/>
  <c r="CE263" i="1"/>
  <c r="AV273" i="1"/>
  <c r="O273" i="1"/>
  <c r="AB263" i="1"/>
  <c r="Q343" i="1"/>
  <c r="F372" i="1"/>
  <c r="Q443" i="1"/>
  <c r="T339" i="1"/>
  <c r="T473" i="1"/>
  <c r="T654" i="1" s="1"/>
  <c r="F464" i="1"/>
  <c r="O75" i="1"/>
  <c r="F89" i="1"/>
  <c r="T505" i="1"/>
  <c r="F645" i="1"/>
  <c r="F46" i="1"/>
  <c r="P26" i="1"/>
  <c r="P303" i="1"/>
  <c r="AZ168" i="1"/>
  <c r="F188" i="1"/>
  <c r="F634" i="1"/>
  <c r="AQ505" i="1"/>
  <c r="AS505" i="1"/>
  <c r="F641" i="1"/>
  <c r="E18" i="2" s="1"/>
  <c r="F465" i="1"/>
  <c r="U339" i="1"/>
  <c r="U473" i="1"/>
  <c r="F299" i="1"/>
  <c r="X263" i="1"/>
  <c r="Y209" i="1"/>
  <c r="F258" i="1"/>
  <c r="AB119" i="1"/>
  <c r="O136" i="1"/>
  <c r="AW343" i="1"/>
  <c r="F366" i="1"/>
  <c r="AW443" i="1"/>
  <c r="F633" i="1"/>
  <c r="G18" i="2" s="1"/>
  <c r="AP505" i="1"/>
  <c r="CD392" i="1"/>
  <c r="AU413" i="1"/>
  <c r="F55" i="1"/>
  <c r="Q26" i="1"/>
  <c r="Q303" i="1"/>
  <c r="AW392" i="1"/>
  <c r="F419" i="1"/>
  <c r="CD75" i="1"/>
  <c r="AU87" i="1"/>
  <c r="Q392" i="1"/>
  <c r="F425" i="1"/>
  <c r="BC18" i="1"/>
  <c r="F670" i="1"/>
  <c r="AZ263" i="1"/>
  <c r="F284" i="1"/>
  <c r="AP654" i="1"/>
  <c r="AB343" i="1"/>
  <c r="O360" i="1"/>
  <c r="P168" i="1"/>
  <c r="F180" i="1"/>
  <c r="P209" i="1"/>
  <c r="F234" i="1"/>
  <c r="AT339" i="1"/>
  <c r="AT473" i="1"/>
  <c r="F461" i="1"/>
  <c r="AY392" i="1"/>
  <c r="F421" i="1"/>
  <c r="X209" i="1"/>
  <c r="F257" i="1"/>
  <c r="AS339" i="1"/>
  <c r="AS473" i="1"/>
  <c r="F460" i="1"/>
  <c r="W26" i="1"/>
  <c r="F67" i="1"/>
  <c r="W303" i="1"/>
  <c r="CH26" i="1"/>
  <c r="AY43" i="1"/>
  <c r="BD18" i="1"/>
  <c r="F679" i="1"/>
  <c r="CD360" i="1"/>
  <c r="F463" i="1"/>
  <c r="BA339" i="1"/>
  <c r="BA473" i="1"/>
  <c r="BD505" i="1"/>
  <c r="F649" i="1"/>
  <c r="O594" i="1"/>
  <c r="O513" i="1"/>
  <c r="F529" i="1"/>
  <c r="Y343" i="1"/>
  <c r="Y443" i="1"/>
  <c r="F387" i="1"/>
  <c r="CF209" i="1"/>
  <c r="AW231" i="1"/>
  <c r="AY513" i="1"/>
  <c r="F535" i="1"/>
  <c r="AY594" i="1"/>
  <c r="S509" i="1"/>
  <c r="F609" i="1"/>
  <c r="S624" i="1"/>
  <c r="AS22" i="1"/>
  <c r="F320" i="1"/>
  <c r="E16" i="2" s="1"/>
  <c r="Y168" i="1"/>
  <c r="F204" i="1"/>
  <c r="CD43" i="1"/>
  <c r="CF263" i="1"/>
  <c r="AW273" i="1"/>
  <c r="CD273" i="1"/>
  <c r="F276" i="1"/>
  <c r="P263" i="1"/>
  <c r="CA273" i="1"/>
  <c r="O392" i="1"/>
  <c r="F415" i="1"/>
  <c r="AQ22" i="1"/>
  <c r="F313" i="1"/>
  <c r="AQ654" i="1"/>
  <c r="F532" i="1"/>
  <c r="AV513" i="1"/>
  <c r="AV594" i="1"/>
  <c r="P339" i="1"/>
  <c r="P473" i="1"/>
  <c r="F446" i="1"/>
  <c r="F242" i="1"/>
  <c r="AZ209" i="1"/>
  <c r="F148" i="1"/>
  <c r="Q119" i="1"/>
  <c r="F440" i="1"/>
  <c r="Y392" i="1"/>
  <c r="Y26" i="1"/>
  <c r="F70" i="1"/>
  <c r="Y303" i="1"/>
  <c r="R119" i="1"/>
  <c r="F150" i="1"/>
  <c r="CA360" i="1"/>
  <c r="F466" i="1"/>
  <c r="V339" i="1"/>
  <c r="V473" i="1"/>
  <c r="V654" i="1" s="1"/>
  <c r="F482" i="1"/>
  <c r="G17" i="2" s="1"/>
  <c r="G20" i="2" s="1"/>
  <c r="AP335" i="1"/>
  <c r="CA209" i="1" l="1"/>
  <c r="AR231" i="1"/>
  <c r="AR177" i="1"/>
  <c r="CA168" i="1"/>
  <c r="AK26" i="1"/>
  <c r="X43" i="1"/>
  <c r="CA26" i="1"/>
  <c r="CA513" i="1"/>
  <c r="AR527" i="1"/>
  <c r="P425" i="6"/>
  <c r="I460" i="6" s="1"/>
  <c r="K425" i="6"/>
  <c r="F203" i="1"/>
  <c r="X168" i="1"/>
  <c r="CD513" i="1"/>
  <c r="S473" i="1"/>
  <c r="S339" i="1"/>
  <c r="F101" i="1"/>
  <c r="R75" i="1"/>
  <c r="I257" i="6"/>
  <c r="I586" i="6"/>
  <c r="I719" i="6"/>
  <c r="I716" i="6"/>
  <c r="I166" i="6"/>
  <c r="P106" i="6"/>
  <c r="K106" i="6"/>
  <c r="AU177" i="1"/>
  <c r="CD168" i="1"/>
  <c r="V18" i="1"/>
  <c r="F677" i="1"/>
  <c r="AT335" i="1"/>
  <c r="F491" i="1"/>
  <c r="F17" i="2" s="1"/>
  <c r="AZ335" i="1"/>
  <c r="F484" i="1"/>
  <c r="AY263" i="1"/>
  <c r="F281" i="1"/>
  <c r="AV473" i="1"/>
  <c r="AV339" i="1"/>
  <c r="F448" i="1"/>
  <c r="F49" i="1"/>
  <c r="AW26" i="1"/>
  <c r="AW303" i="1"/>
  <c r="AU360" i="1"/>
  <c r="CD343" i="1"/>
  <c r="AX505" i="1"/>
  <c r="F631" i="1"/>
  <c r="CA343" i="1"/>
  <c r="AR360" i="1"/>
  <c r="T18" i="1"/>
  <c r="F675" i="1"/>
  <c r="AV119" i="1"/>
  <c r="F141" i="1"/>
  <c r="R509" i="1"/>
  <c r="R624" i="1"/>
  <c r="F608" i="1"/>
  <c r="V505" i="1"/>
  <c r="F647" i="1"/>
  <c r="Y339" i="1"/>
  <c r="Y473" i="1"/>
  <c r="F470" i="1"/>
  <c r="R22" i="1"/>
  <c r="F317" i="1"/>
  <c r="J16" i="2" s="1"/>
  <c r="AR75" i="1"/>
  <c r="F115" i="1"/>
  <c r="F185" i="1"/>
  <c r="AY168" i="1"/>
  <c r="AV209" i="1"/>
  <c r="F236" i="1"/>
  <c r="W22" i="1"/>
  <c r="F327" i="1"/>
  <c r="W654" i="1"/>
  <c r="AZ505" i="1"/>
  <c r="F635" i="1"/>
  <c r="AX22" i="1"/>
  <c r="F310" i="1"/>
  <c r="AX654" i="1"/>
  <c r="F599" i="1"/>
  <c r="AV624" i="1"/>
  <c r="AV509" i="1"/>
  <c r="U335" i="1"/>
  <c r="F495" i="1"/>
  <c r="AS335" i="1"/>
  <c r="F490" i="1"/>
  <c r="E17" i="2" s="1"/>
  <c r="E20" i="2" s="1"/>
  <c r="AP18" i="1"/>
  <c r="F663" i="1"/>
  <c r="I23" i="6" s="1"/>
  <c r="AZ22" i="1"/>
  <c r="F314" i="1"/>
  <c r="AZ654" i="1"/>
  <c r="P22" i="1"/>
  <c r="F306" i="1"/>
  <c r="P654" i="1"/>
  <c r="CD263" i="1"/>
  <c r="AU273" i="1"/>
  <c r="P505" i="1"/>
  <c r="F627" i="1"/>
  <c r="AX335" i="1"/>
  <c r="F480" i="1"/>
  <c r="W335" i="1"/>
  <c r="F497" i="1"/>
  <c r="F45" i="1"/>
  <c r="O26" i="1"/>
  <c r="O303" i="1"/>
  <c r="O343" i="1"/>
  <c r="F362" i="1"/>
  <c r="O443" i="1"/>
  <c r="Y22" i="1"/>
  <c r="F330" i="1"/>
  <c r="T335" i="1"/>
  <c r="F494" i="1"/>
  <c r="F639" i="1"/>
  <c r="S505" i="1"/>
  <c r="F441" i="1"/>
  <c r="AR392" i="1"/>
  <c r="AW119" i="1"/>
  <c r="F142" i="1"/>
  <c r="AV263" i="1"/>
  <c r="F278" i="1"/>
  <c r="F237" i="1"/>
  <c r="AW209" i="1"/>
  <c r="O209" i="1"/>
  <c r="F233" i="1"/>
  <c r="AU513" i="1"/>
  <c r="AU594" i="1"/>
  <c r="F546" i="1"/>
  <c r="AU119" i="1"/>
  <c r="F155" i="1"/>
  <c r="F48" i="1"/>
  <c r="AV26" i="1"/>
  <c r="AV303" i="1"/>
  <c r="Q22" i="1"/>
  <c r="F315" i="1"/>
  <c r="F596" i="1"/>
  <c r="O624" i="1"/>
  <c r="O509" i="1"/>
  <c r="F636" i="1"/>
  <c r="Q505" i="1"/>
  <c r="F432" i="1"/>
  <c r="AU392" i="1"/>
  <c r="F20" i="2"/>
  <c r="BA335" i="1"/>
  <c r="F493" i="1"/>
  <c r="Y509" i="1"/>
  <c r="F621" i="1"/>
  <c r="Y624" i="1"/>
  <c r="AY339" i="1"/>
  <c r="AY473" i="1"/>
  <c r="F451" i="1"/>
  <c r="BA654" i="1"/>
  <c r="F164" i="1"/>
  <c r="AR119" i="1"/>
  <c r="O119" i="1"/>
  <c r="F138" i="1"/>
  <c r="AU75" i="1"/>
  <c r="F106" i="1"/>
  <c r="CD26" i="1"/>
  <c r="AU43" i="1"/>
  <c r="CD209" i="1"/>
  <c r="AU231" i="1"/>
  <c r="S335" i="1"/>
  <c r="F488" i="1"/>
  <c r="Q473" i="1"/>
  <c r="Q339" i="1"/>
  <c r="F455" i="1"/>
  <c r="R339" i="1"/>
  <c r="R473" i="1"/>
  <c r="F457" i="1"/>
  <c r="F644" i="1"/>
  <c r="BA505" i="1"/>
  <c r="W505" i="1"/>
  <c r="F648" i="1"/>
  <c r="CA263" i="1"/>
  <c r="AR273" i="1"/>
  <c r="V335" i="1"/>
  <c r="F496" i="1"/>
  <c r="AY26" i="1"/>
  <c r="F51" i="1"/>
  <c r="AY303" i="1"/>
  <c r="F182" i="1"/>
  <c r="AV168" i="1"/>
  <c r="AW263" i="1"/>
  <c r="F279" i="1"/>
  <c r="P335" i="1"/>
  <c r="F476" i="1"/>
  <c r="AY209" i="1"/>
  <c r="F239" i="1"/>
  <c r="AW168" i="1"/>
  <c r="F183" i="1"/>
  <c r="AY119" i="1"/>
  <c r="F144" i="1"/>
  <c r="U505" i="1"/>
  <c r="F646" i="1"/>
  <c r="AR26" i="1"/>
  <c r="F71" i="1"/>
  <c r="AS654" i="1"/>
  <c r="AQ18" i="1"/>
  <c r="F664" i="1"/>
  <c r="X624" i="1"/>
  <c r="X509" i="1"/>
  <c r="F620" i="1"/>
  <c r="AT654" i="1"/>
  <c r="U22" i="1"/>
  <c r="F325" i="1"/>
  <c r="U654" i="1"/>
  <c r="AY509" i="1"/>
  <c r="AY624" i="1"/>
  <c r="F602" i="1"/>
  <c r="AR209" i="1"/>
  <c r="F259" i="1"/>
  <c r="AW339" i="1"/>
  <c r="AW473" i="1"/>
  <c r="F449" i="1"/>
  <c r="O263" i="1"/>
  <c r="F275" i="1"/>
  <c r="S654" i="1"/>
  <c r="AW509" i="1"/>
  <c r="F600" i="1"/>
  <c r="AW624" i="1"/>
  <c r="X339" i="1"/>
  <c r="X473" i="1"/>
  <c r="F469" i="1"/>
  <c r="X26" i="1" l="1"/>
  <c r="F69" i="1"/>
  <c r="X303" i="1"/>
  <c r="AR513" i="1"/>
  <c r="F555" i="1"/>
  <c r="AR594" i="1"/>
  <c r="F196" i="1"/>
  <c r="AU168" i="1"/>
  <c r="F205" i="1"/>
  <c r="AR168" i="1"/>
  <c r="X654" i="1"/>
  <c r="X18" i="1" s="1"/>
  <c r="R654" i="1"/>
  <c r="F668" i="1" s="1"/>
  <c r="I810" i="6"/>
  <c r="I510" i="6"/>
  <c r="I117" i="6"/>
  <c r="Y335" i="1"/>
  <c r="F500" i="1"/>
  <c r="F630" i="1"/>
  <c r="AW505" i="1"/>
  <c r="AY335" i="1"/>
  <c r="F481" i="1"/>
  <c r="O22" i="1"/>
  <c r="F305" i="1"/>
  <c r="F485" i="1"/>
  <c r="Q335" i="1"/>
  <c r="U18" i="1"/>
  <c r="F676" i="1"/>
  <c r="AR263" i="1"/>
  <c r="F301" i="1"/>
  <c r="AV22" i="1"/>
  <c r="F308" i="1"/>
  <c r="AV654" i="1"/>
  <c r="F638" i="1"/>
  <c r="J18" i="2" s="1"/>
  <c r="R505" i="1"/>
  <c r="AZ18" i="1"/>
  <c r="F665" i="1"/>
  <c r="AY505" i="1"/>
  <c r="F632" i="1"/>
  <c r="AW22" i="1"/>
  <c r="F309" i="1"/>
  <c r="AW654" i="1"/>
  <c r="Y505" i="1"/>
  <c r="F651" i="1"/>
  <c r="AU209" i="1"/>
  <c r="F250" i="1"/>
  <c r="S18" i="1"/>
  <c r="F669" i="1"/>
  <c r="X505" i="1"/>
  <c r="F650" i="1"/>
  <c r="F629" i="1"/>
  <c r="AV505" i="1"/>
  <c r="Q654" i="1"/>
  <c r="X335" i="1"/>
  <c r="F499" i="1"/>
  <c r="W18" i="1"/>
  <c r="F678" i="1"/>
  <c r="F62" i="1"/>
  <c r="AU26" i="1"/>
  <c r="AU303" i="1"/>
  <c r="F478" i="1"/>
  <c r="AV335" i="1"/>
  <c r="AU343" i="1"/>
  <c r="F379" i="1"/>
  <c r="AU443" i="1"/>
  <c r="AT18" i="1"/>
  <c r="F672" i="1"/>
  <c r="I22" i="6" s="1"/>
  <c r="AU263" i="1"/>
  <c r="F292" i="1"/>
  <c r="AU624" i="1"/>
  <c r="F613" i="1"/>
  <c r="AU509" i="1"/>
  <c r="Y654" i="1"/>
  <c r="AR343" i="1"/>
  <c r="F388" i="1"/>
  <c r="AR443" i="1"/>
  <c r="R335" i="1"/>
  <c r="F487" i="1"/>
  <c r="J17" i="2" s="1"/>
  <c r="J20" i="2" s="1"/>
  <c r="O505" i="1"/>
  <c r="F626" i="1"/>
  <c r="O339" i="1"/>
  <c r="O473" i="1"/>
  <c r="O654" i="1" s="1"/>
  <c r="F445" i="1"/>
  <c r="F479" i="1"/>
  <c r="AW335" i="1"/>
  <c r="P18" i="1"/>
  <c r="F657" i="1"/>
  <c r="AS18" i="1"/>
  <c r="F671" i="1"/>
  <c r="I21" i="6" s="1"/>
  <c r="AR303" i="1"/>
  <c r="AY22" i="1"/>
  <c r="F311" i="1"/>
  <c r="AY654" i="1"/>
  <c r="BA18" i="1"/>
  <c r="F674" i="1"/>
  <c r="AX18" i="1"/>
  <c r="F661" i="1"/>
  <c r="F680" i="1" l="1"/>
  <c r="I25" i="6"/>
  <c r="R18" i="1"/>
  <c r="F622" i="1"/>
  <c r="AR509" i="1"/>
  <c r="AR624" i="1"/>
  <c r="X22" i="1"/>
  <c r="F329" i="1"/>
  <c r="AW18" i="1"/>
  <c r="F660" i="1"/>
  <c r="AU505" i="1"/>
  <c r="F643" i="1"/>
  <c r="H18" i="2" s="1"/>
  <c r="I18" i="2" s="1"/>
  <c r="AY18" i="1"/>
  <c r="F662" i="1"/>
  <c r="AU22" i="1"/>
  <c r="F322" i="1"/>
  <c r="H16" i="2" s="1"/>
  <c r="AU654" i="1"/>
  <c r="O18" i="1"/>
  <c r="F656" i="1"/>
  <c r="Q18" i="1"/>
  <c r="F666" i="1"/>
  <c r="O335" i="1"/>
  <c r="F475" i="1"/>
  <c r="AU339" i="1"/>
  <c r="AU473" i="1"/>
  <c r="F462" i="1"/>
  <c r="AV18" i="1"/>
  <c r="F659" i="1"/>
  <c r="AR22" i="1"/>
  <c r="F331" i="1"/>
  <c r="AR339" i="1"/>
  <c r="F471" i="1"/>
  <c r="AR473" i="1"/>
  <c r="Y18" i="1"/>
  <c r="F681" i="1"/>
  <c r="AR505" i="1" l="1"/>
  <c r="F652" i="1"/>
  <c r="I16" i="2"/>
  <c r="F501" i="1"/>
  <c r="AR335" i="1"/>
  <c r="AU18" i="1"/>
  <c r="F673" i="1"/>
  <c r="I24" i="6" s="1"/>
  <c r="I20" i="6" s="1"/>
  <c r="AR654" i="1"/>
  <c r="AU335" i="1"/>
  <c r="F492" i="1"/>
  <c r="H17" i="2" s="1"/>
  <c r="I17" i="2" s="1"/>
  <c r="AR18" i="1" l="1"/>
  <c r="F682" i="1"/>
  <c r="F683" i="1" s="1"/>
  <c r="I811" i="6" s="1"/>
  <c r="I20" i="2"/>
  <c r="H20" i="2"/>
  <c r="F684" i="1" l="1"/>
  <c r="I812" i="6" s="1"/>
  <c r="F685" i="1" l="1"/>
  <c r="I813" i="6" s="1"/>
</calcChain>
</file>

<file path=xl/sharedStrings.xml><?xml version="1.0" encoding="utf-8"?>
<sst xmlns="http://schemas.openxmlformats.org/spreadsheetml/2006/main" count="9931" uniqueCount="655">
  <si>
    <t>Smeta.RU  (495) 974-1589</t>
  </si>
  <si>
    <t>_PS_</t>
  </si>
  <si>
    <t>Smeta.RU</t>
  </si>
  <si>
    <t/>
  </si>
  <si>
    <t>Новый объект_(Копия)_(Копия)</t>
  </si>
  <si>
    <t>6.5.1_Ж/Д вокзал и депо_на 4 месяца (10%)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</si>
  <si>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</si>
  <si>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</si>
  <si>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</si>
  <si>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</si>
  <si>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</si>
  <si>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</si>
  <si>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</si>
  <si>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</si>
  <si>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Система отопления</t>
  </si>
  <si>
    <t>1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</si>
  <si>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</si>
  <si>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</si>
  <si>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</si>
  <si>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3 (в текущих ценах по состоянию на 01.04.2025 г.). Сб.15-2101-1-1/1</t>
  </si>
  <si>
    <t>)*4</t>
  </si>
  <si>
    <t>СН-2012</t>
  </si>
  <si>
    <t>Подрядные работы, гл. 1-5,7</t>
  </si>
  <si>
    <t>работа</t>
  </si>
  <si>
    <t>2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</si>
  <si>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</si>
  <si>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</si>
  <si>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3 (в текущих ценах по состоянию на 01.04.2025 г.). Сб.15-2101-2-1/1</t>
  </si>
  <si>
    <t>1.17-2103-11-1/1</t>
  </si>
  <si>
    <t>Гидропневматическая промывка трубопроводов диаметром до 50 мм</t>
  </si>
  <si>
    <t>СН-2012.1 Выпуск № 3 (в текущих ценах по состоянию на 01.04.2025 г.). Сб.17-2103-11-1/1</t>
  </si>
  <si>
    <t>1.17-3205-2-1/1</t>
  </si>
  <si>
    <t>Гидравлическое испытание трубопроводов систем отопления диаметром до 50 мм</t>
  </si>
  <si>
    <t>СН-2012.1 Выпуск № 3 (в текущих ценах по состоянию на 01.04.2025 г.). Сб.17-3205-2-1/1</t>
  </si>
  <si>
    <t>3</t>
  </si>
  <si>
    <t>1.17-2103-15-1/1</t>
  </si>
  <si>
    <t>Техническое обслуживание конвекторов, встраиваемых в пол, длиной короба 1100 мм, шириной короба до 140 мм</t>
  </si>
  <si>
    <t>10 шт.</t>
  </si>
  <si>
    <t>СН-2012.1 Выпуск № 3 (в текущих ценах по состоянию на 01.04.2025 г.). Сб.17-2103-15-1/1</t>
  </si>
  <si>
    <t>4</t>
  </si>
  <si>
    <t>1.17-2103-13-1/1</t>
  </si>
  <si>
    <t>Техническое обслуживание стальных панельных радиаторов типа 10 высотой 300 мм длиной до 1500 мм</t>
  </si>
  <si>
    <t>шт.</t>
  </si>
  <si>
    <t>СН-2012.1 Выпуск № 3 (в текущих ценах по состоянию на 01.04.2025 г.). Сб.17-2103-13-1/1</t>
  </si>
  <si>
    <t>5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</si>
  <si>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</si>
  <si>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</si>
  <si>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3 (в текущих ценах по состоянию на 01.04.2025 г.). Сб.21-2301-29-1/1</t>
  </si>
  <si>
    <t>6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</si>
  <si>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</si>
  <si>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</si>
  <si>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3 (в текущих ценах по состоянию на 01.04.2025 г.). Сб.21-2303-50-1/1</t>
  </si>
  <si>
    <t>)*2</t>
  </si>
  <si>
    <t>7</t>
  </si>
  <si>
    <t>1.23-2103-41-1/1</t>
  </si>
  <si>
    <t>Техническое обслуживание регулирующего клапана</t>
  </si>
  <si>
    <t>СН-2012.1 Выпуск № 3 (в текущих ценах по состоянию на 01.04.2025 г.). Сб.23-2103-41-1/1</t>
  </si>
  <si>
    <t>8</t>
  </si>
  <si>
    <t>1.15-2303-4-2/1</t>
  </si>
  <si>
    <t>Прочистка сетчатых фильтров грубой очистки воды диаметром до 50 мм</t>
  </si>
  <si>
    <t>СН-2012.1 Выпуск № 3 (в текущих ценах по состоянию на 01.04.2025 г.). Сб.15-2303-4-2/1</t>
  </si>
  <si>
    <t>9</t>
  </si>
  <si>
    <t>1.15-2303-5-1/1</t>
  </si>
  <si>
    <t>Техническое обслуживание фильтров водяных фланцевых сетчатых диаметром до 65 мм</t>
  </si>
  <si>
    <t>СН-2012.1 Выпуск № 3 (в текущих ценах по состоянию на 01.04.2025 г.). Сб.15-2303-5-1/1</t>
  </si>
  <si>
    <t>9,1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</si>
  <si>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</si>
  <si>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</si>
  <si>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3 (в текущих ценах по состоянию на 01.04.2025 г.). Сб.26-1-110</t>
  </si>
  <si>
    <t>)*3</t>
  </si>
  <si>
    <t>1.17-2103-16-1/1</t>
  </si>
  <si>
    <t>Техническое обслуживание крана трехходового шарового под манометр</t>
  </si>
  <si>
    <t>СН-2012.1 Выпуск № 3 (в текущих ценах по состоянию на 01.04.2025 г.). Сб.17-2103-16-1/1</t>
  </si>
  <si>
    <t>10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</si>
  <si>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</si>
  <si>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</si>
  <si>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</si>
  <si>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</si>
  <si>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</si>
  <si>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</si>
  <si>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</si>
  <si>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</si>
  <si>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</si>
  <si>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</si>
  <si>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</si>
  <si>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</si>
  <si>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</si>
  <si>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</si>
  <si>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</si>
  <si>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</si>
  <si>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</si>
  <si>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</si>
  <si>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</si>
  <si>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</si>
  <si>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</si>
  <si>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</si>
  <si>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</si>
  <si>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</si>
  <si>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</si>
  <si>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</si>
  <si>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</si>
  <si>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</si>
  <si>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</si>
  <si>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</si>
  <si>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</si>
  <si>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</si>
  <si>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</si>
  <si>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</si>
  <si>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</si>
  <si>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</si>
  <si>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</si>
  <si>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</si>
  <si>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</si>
  <si>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</si>
  <si>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</si>
  <si>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</si>
  <si>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</si>
  <si>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</si>
  <si>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</si>
  <si>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</si>
  <si>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</si>
  <si>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</si>
  <si>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</si>
  <si>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</si>
  <si>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</si>
  <si>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</si>
  <si>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</si>
  <si>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</si>
  <si>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Система водоснабжения</t>
  </si>
  <si>
    <t>11</t>
  </si>
  <si>
    <t>12</t>
  </si>
  <si>
    <t>1.15-2103-2-2/1</t>
  </si>
  <si>
    <t>Гидропневматическая промывка трубопроводов с дезинфекцией диаметром до 100 мм</t>
  </si>
  <si>
    <t>СН-2012.1 Выпуск № 3 (в текущих ценах по состоянию на 01.04.2025 г.). Сб.15-2103-2-2/1</t>
  </si>
  <si>
    <t>13</t>
  </si>
  <si>
    <t>1.23-2103-39-2/1</t>
  </si>
  <si>
    <t>Техническое обслуживание счетчиков холодной и горячей воды условным диаметром 25-40 мм.</t>
  </si>
  <si>
    <t>СН-2012.1 Выпуск № 3 (в текущих ценах по состоянию на 01.04.2025 г.). Сб.23-2103-39-2/1</t>
  </si>
  <si>
    <t>14</t>
  </si>
  <si>
    <t>1.24-2103-11-4/1</t>
  </si>
  <si>
    <t>Техническое обслуживание центробежных насосов мощностью от 15 до 75 кВт</t>
  </si>
  <si>
    <t>СН-2012.1 Выпуск № 3 (в текущих ценах по состоянию на 01.04.2025 г.). Сб.24-2103-11-4/1</t>
  </si>
  <si>
    <t>1.23-2103-14-1/1</t>
  </si>
  <si>
    <t>Техническое обслуживание манометров с самописцами</t>
  </si>
  <si>
    <t>СН-2012.1 Выпуск № 3 (в текущих ценах по состоянию на 01.04.2025 г.). Сб.23-2103-14-1/1</t>
  </si>
  <si>
    <t>15</t>
  </si>
  <si>
    <t>16</t>
  </si>
  <si>
    <t>1.16-3202-3-1/1</t>
  </si>
  <si>
    <t>Смена прокладок в смесителях</t>
  </si>
  <si>
    <t>100 шт.</t>
  </si>
  <si>
    <t>СН-2012.1 Выпуск № 3 (в текущих ценах по состоянию на 01.04.2025 г.). Сб.16-3202-3-1/1</t>
  </si>
  <si>
    <t>Система водоотведения</t>
  </si>
  <si>
    <t>17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</si>
  <si>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</si>
  <si>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</si>
  <si>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3 (в текущих ценах по состоянию на 01.04.2025 г.). Сб.16-2201-1-1/1</t>
  </si>
  <si>
    <t>)*17</t>
  </si>
  <si>
    <t>18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</si>
  <si>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</si>
  <si>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</si>
  <si>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3 (в текущих ценах по состоянию на 01.04.2025 г.). Сб.16-2201-1-3/1</t>
  </si>
  <si>
    <t>19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</si>
  <si>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раковины</t>
  </si>
  <si>
    <t>20</t>
  </si>
  <si>
    <t>1.16-3201-2-1/1</t>
  </si>
  <si>
    <t>Укрепление расшатавшихся санитарно-технических приборов - умывальники</t>
  </si>
  <si>
    <t>СН-2012.1 Выпуск № 3 (в текущих ценах по состоянию на 01.04.2025 г.). Сб.16-3201-2-1/1</t>
  </si>
  <si>
    <t>21</t>
  </si>
  <si>
    <t>1.16-3201-2-2/1</t>
  </si>
  <si>
    <t>Укрепление расшатавшихся санитарно-технических приборов - унитазы и биде</t>
  </si>
  <si>
    <t>СН-2012.1 Выпуск № 3 (в текущих ценах по состоянию на 01.04.2025 г.). Сб.16-3201-2-2/1</t>
  </si>
  <si>
    <t>22</t>
  </si>
  <si>
    <t>1.16-2203-1-1/1</t>
  </si>
  <si>
    <t>Прочистка сифонов / трапов</t>
  </si>
  <si>
    <t>СН-2012.1 Выпуск № 3 (в текущих ценах по состоянию на 01.04.2025 г.). Сб.16-2203-1-1/1</t>
  </si>
  <si>
    <t>23</t>
  </si>
  <si>
    <t>24</t>
  </si>
  <si>
    <t>1.16-3101-3-1/1</t>
  </si>
  <si>
    <t>Прочистка канализационной сети внутренней</t>
  </si>
  <si>
    <t>СН-2012.1 Выпуск № 3 (в текущих ценах по состоянию на 01.04.2025 г.). Сб.16-3101-3-1/1</t>
  </si>
  <si>
    <t>25</t>
  </si>
  <si>
    <t>Прочистка сифонов / умывальники, раковины,  писсуары</t>
  </si>
  <si>
    <t>1.24-2103-16-1/1</t>
  </si>
  <si>
    <t>Техническое обслуживание погружных насосов мощностью от 2,1 кВт до 16 кВт / Погружной дренажный насос Wilo Drain ТМТ (мощность 1.1 кВт)</t>
  </si>
  <si>
    <t>СН-2012.1 Выпуск № 3 (в текущих ценах по состоянию на 01.04.2025 г.). Сб.24-2103-16-1/1</t>
  </si>
  <si>
    <t>1.24-2101-1-2/1</t>
  </si>
  <si>
    <t>Технический осмотр погружных пропеллерных мешалок и насосов мощностью от 7,1 до 16 кВт / Погружной дренажный насос Wilo Drain ТМТ (мощность 1.1 кВт)</t>
  </si>
  <si>
    <t>СН-2012.1 Выпуск № 3 (в текущих ценах по состоянию на 01.04.2025 г.). Сб.24-2101-1-2/1</t>
  </si>
  <si>
    <t>26</t>
  </si>
  <si>
    <t>1.16-2301-1-1/1</t>
  </si>
  <si>
    <t>Осмотр насоса для сточных вод переносного с полуоткрытым рабочим колесом Грундфос EF</t>
  </si>
  <si>
    <t>СН-2012.1 Выпуск № 3 (в текущих ценах по состоянию на 01.04.2025 г.). Сб.16-2301-1-1/1</t>
  </si>
  <si>
    <t>27</t>
  </si>
  <si>
    <t>1.16-2303-2-1/1</t>
  </si>
  <si>
    <t>Техническое обслуживание насоса для сточных вод переносного с полуоткрытым рабочим колесом Грундфос EF / сололифт</t>
  </si>
  <si>
    <t>СН-2012.1 Выпуск № 3 (в текущих ценах по состоянию на 01.04.2025 г.). Сб.16-2303-2-1/1</t>
  </si>
  <si>
    <t>Электроосвещение</t>
  </si>
  <si>
    <t>28</t>
  </si>
  <si>
    <t>1.21-2201-28-3/1</t>
  </si>
  <si>
    <t>Технический осмотр главного распределительного щита (ГРЩ) с количеством вводов 2 - ежедневный</t>
  </si>
  <si>
    <t>СН-2012.1 Выпуск № 3 (в текущих ценах по состоянию на 01.04.2025 г.). Сб.21-2201-28-3/1</t>
  </si>
  <si>
    <t>)*118</t>
  </si>
  <si>
    <t>29</t>
  </si>
  <si>
    <t>1.21-2201-28-4/1</t>
  </si>
  <si>
    <t>Технический осмотр главного распределительного щита (ГРЩ) с количеством вводов 2 - ежемесячный</t>
  </si>
  <si>
    <t>СН-2012.1 Выпуск № 3 (в текущих ценах по состоянию на 01.04.2025 г.). Сб.21-2201-28-4/1</t>
  </si>
  <si>
    <t>30</t>
  </si>
  <si>
    <t>1.20-2103-19-3/1</t>
  </si>
  <si>
    <t>Техническое обслуживание годовое светильника светодиодного потолочного типа Arctic 1500</t>
  </si>
  <si>
    <t>СН-2012.1 Выпуск № 3 (в текущих ценах по состоянию на 01.04.2025 г.). Сб.20-2103-19-3/1</t>
  </si>
  <si>
    <t>31</t>
  </si>
  <si>
    <t>1.23-2103-6-1/1</t>
  </si>
  <si>
    <t>Техническое обслуживание выключателей поплавковых</t>
  </si>
  <si>
    <t>СН-2012.1 Выпуск № 3 (в текущих ценах по состоянию на 01.04.2025 г.). Сб.23-2103-6-1/1</t>
  </si>
  <si>
    <t>32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</si>
  <si>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</si>
  <si>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</si>
  <si>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3 (в текущих ценах по состоянию на 01.04.2025 г.). Сб.21-2103-9-2/1</t>
  </si>
  <si>
    <t>33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</si>
  <si>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</si>
  <si>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</si>
  <si>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3 (в текущих ценах по состоянию на 01.04.2025 г.). Сб.21-2101-1-1/1</t>
  </si>
  <si>
    <t>Электроснабжение</t>
  </si>
  <si>
    <t>34</t>
  </si>
  <si>
    <t>35</t>
  </si>
  <si>
    <t>36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</si>
  <si>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</si>
  <si>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</si>
  <si>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3 (в текущих ценах по состоянию на 01.04.2025 г.). Сб.21-2201-30-1/1</t>
  </si>
  <si>
    <t>37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</si>
  <si>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</si>
  <si>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</si>
  <si>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3 (в текущих ценах по состоянию на 01.04.2025 г.). Сб.21-2201-30-2/1</t>
  </si>
  <si>
    <t>38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</si>
  <si>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</si>
  <si>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</si>
  <si>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3 (в текущих ценах по состоянию на 01.04.2025 г.). Сб.21-2203-19-1/1</t>
  </si>
  <si>
    <t>39</t>
  </si>
  <si>
    <t>1.21-2201-15-1/1</t>
  </si>
  <si>
    <t>Осмотр установки компенсации реактивной мощности (УКРМ) 150 кВАр с регулятором типа LSA - ежедневный</t>
  </si>
  <si>
    <t>шкаф</t>
  </si>
  <si>
    <t>СН-2012.1 Выпуск № 3 (в текущих ценах по состоянию на 01.04.2025 г.). Сб.21-2201-15-1/1</t>
  </si>
  <si>
    <t>40</t>
  </si>
  <si>
    <t>1.21-2201-15-2/1</t>
  </si>
  <si>
    <t>Осмотр установки компенсации реактивной мощности (УКРМ) 150 кВАр с регулятором типа LSA - ежемесячный</t>
  </si>
  <si>
    <t>СН-2012.1 Выпуск № 3 (в текущих ценах по состоянию на 01.04.2025 г.). Сб.21-2201-15-2/1</t>
  </si>
  <si>
    <t>41</t>
  </si>
  <si>
    <t>1.21-2203-36-1/1</t>
  </si>
  <si>
    <t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полугодовое</t>
  </si>
  <si>
    <t>СН-2012.1 Выпуск № 3 (в текущих ценах по состоянию на 01.04.2025 г.). Сб.21-2203-36-1/1</t>
  </si>
  <si>
    <t>42</t>
  </si>
  <si>
    <t>1.21-2203-36-2/1</t>
  </si>
  <si>
    <t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годовое</t>
  </si>
  <si>
    <t>СН-2012.1 Выпуск № 3 (в текущих ценах по состоянию на 01.04.2025 г.). Сб.21-2203-36-2/1</t>
  </si>
  <si>
    <t>43</t>
  </si>
  <si>
    <t>1.21-2203-18-2/1</t>
  </si>
  <si>
    <t>Техническое обслуживание главного распределительного силового щита типа ГРЩ, ГРЩС с количеством вводов 2</t>
  </si>
  <si>
    <t>СН-2012.1 Выпуск № 3 (в текущих ценах по состоянию на 01.04.2025 г.). Сб.21-2203-18-2/1</t>
  </si>
  <si>
    <t>44</t>
  </si>
  <si>
    <t>1.21-2201-24-2/1</t>
  </si>
  <si>
    <t>Технический осмотр многопанельного вводно-распределительного устройства (ВРУ), панель распределительная, число групп до 16 - ежемесячный</t>
  </si>
  <si>
    <t>СН-2012.1 Выпуск № 3 (в текущих ценах по состоянию на 01.04.2025 г.). Сб.21-2201-24-2/1</t>
  </si>
  <si>
    <t>45</t>
  </si>
  <si>
    <t>1.21-2201-24-1/1</t>
  </si>
  <si>
    <t>Технический осмотр многопанельного вводно-распределительного устройства (ВРУ), панель распределительная, число групп до 16 - ежедневный</t>
  </si>
  <si>
    <t>СН-2012.1 Выпуск № 3 (в текущих ценах по состоянию на 01.04.2025 г.). Сб.21-2201-24-1/1</t>
  </si>
  <si>
    <t>46</t>
  </si>
  <si>
    <t>1.21-2203-11-1/1</t>
  </si>
  <si>
    <t>Техническое обслуживание шкафов управления технологическим оборудованием</t>
  </si>
  <si>
    <t>СН-2012.1 Выпуск № 3 (в текущих ценах по состоянию на 01.04.2025 г.). Сб.21-2203-11-1/1</t>
  </si>
  <si>
    <t>47</t>
  </si>
  <si>
    <t>1.21-2203-12-1/1</t>
  </si>
  <si>
    <t>Техническое обслуживание щита автоматической защиты от перегрузок ЩАП</t>
  </si>
  <si>
    <t>СН-2012.1 Выпуск № 3 (в текущих ценах по состоянию на 01.04.2025 г.). Сб.21-2203-12-1/1</t>
  </si>
  <si>
    <t>48</t>
  </si>
  <si>
    <t>1.24-2501-9-3/1</t>
  </si>
  <si>
    <t>Осмотр датчика утечек воды / (прим) осадков, воды, температуры</t>
  </si>
  <si>
    <t>СН-2012.1 Выпуск № 3 (в текущих ценах по состоянию на 01.04.2025 г.). Сб.24-2501-9-3/1</t>
  </si>
  <si>
    <t>49</t>
  </si>
  <si>
    <t>1.23-2103-33-1/1</t>
  </si>
  <si>
    <t>Техническое обслуживание электродного датчика уровня жидкости / (прим) осадков, воды, температуры</t>
  </si>
  <si>
    <t>СН-2012.1 Выпуск № 3 (в текущих ценах по состоянию на 01.04.2025 г.). Сб.23-2103-33-1/1</t>
  </si>
  <si>
    <t>50</t>
  </si>
  <si>
    <t>51</t>
  </si>
  <si>
    <t>Техническое обслуживание силовых сетей, проложенных по кирпичным и бетонным основаниям, провод сечением 3х1,5-6 мм2 (50%)</t>
  </si>
  <si>
    <t>52</t>
  </si>
  <si>
    <t>Теплоснабжение</t>
  </si>
  <si>
    <t>1.18-2303-1-3/1</t>
  </si>
  <si>
    <t>Техническое обслуживание в течение года тепловых завес с автоматикой производительностью по воздуху до 20000 м3/ч</t>
  </si>
  <si>
    <t>СН-2012.1 Выпуск № 3 (в текущих ценах по состоянию на 01.04.2025 г.). Сб.18-2303-1-3/1</t>
  </si>
  <si>
    <t>)/12*4</t>
  </si>
  <si>
    <t>1.18-2403-12-2/1</t>
  </si>
  <si>
    <t>Техническое обслуживание в течение года разного оборудования систем кондиционирования воздуха, центробежных насосов производительностью по воде 40 м3/ч</t>
  </si>
  <si>
    <t>насос</t>
  </si>
  <si>
    <t>СН-2012.1 Выпуск № 3 (в текущих ценах по состоянию на 01.04.2025 г.). Сб.18-2403-12-2/1</t>
  </si>
  <si>
    <t>53</t>
  </si>
  <si>
    <t>Техническое обслуживание регулирующего клапана / узлы регулирования</t>
  </si>
  <si>
    <t>54</t>
  </si>
  <si>
    <t>55</t>
  </si>
  <si>
    <t>1.18-2203-3-1/1</t>
  </si>
  <si>
    <t>Техническое обслуживание клапанов обратных воздушных диаметром/периметром до 560/1600 мм</t>
  </si>
  <si>
    <t>СН-2012.1 Выпуск № 3 (в текущих ценах по состоянию на 01.04.2025 г.). Сб.18-2203-3-1/1</t>
  </si>
  <si>
    <t>56</t>
  </si>
  <si>
    <t>Техническое обслуживание регулирующего клапана / сидельный</t>
  </si>
  <si>
    <t>57</t>
  </si>
  <si>
    <t>1.15-2201-1-1/1</t>
  </si>
  <si>
    <t>Осмотр крана спускного</t>
  </si>
  <si>
    <t>СН-2012.1 Выпуск № 3 (в текущих ценах по состоянию на 01.04.2025 г.). Сб.15-2201-1-1/1</t>
  </si>
  <si>
    <t>Техническое обслуживание инженерных систем ИТП</t>
  </si>
  <si>
    <t>ИТП</t>
  </si>
  <si>
    <t>Новый подраздел</t>
  </si>
  <si>
    <t>Техническое  обслуживание годовое</t>
  </si>
  <si>
    <t>1.17-2103-3-5/1</t>
  </si>
  <si>
    <t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t>
  </si>
  <si>
    <t>система</t>
  </si>
  <si>
    <t>СН-2012.1 Выпуск № 3 (в текущих ценах по состоянию на 01.04.2025 г.). Сб.17-2103-3-5/1</t>
  </si>
  <si>
    <t>1.24-3105-1-2/1</t>
  </si>
  <si>
    <t>Химическая безразборная промывка пластинчатых теплообменников М15</t>
  </si>
  <si>
    <t>СН-2012.1 Выпуск № 3 (в текущих ценах по состоянию на 01.04.2025 г.). Сб.24-3105-1-2/1</t>
  </si>
  <si>
    <t>1.24-2501-14-1/1</t>
  </si>
  <si>
    <t>Осмотр теплообменника пластинчатого</t>
  </si>
  <si>
    <t>СН-2012.1 Выпуск № 3 (в текущих ценах по состоянию на 01.04.2025 г.). Сб.24-2501-14-1/1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</si>
  <si>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</si>
  <si>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</si>
  <si>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3 (в текущих ценах по состоянию на 01.04.2025 г.). Сб.24-2503-4-5/1</t>
  </si>
  <si>
    <t>)/12*8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</si>
  <si>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</si>
  <si>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</si>
  <si>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3 (в текущих ценах по состоянию на 01.04.2025 г.). Сб.24-2503-4-18/1</t>
  </si>
  <si>
    <t>УУТЭ</t>
  </si>
  <si>
    <t>1.23-2103-22-3/1</t>
  </si>
  <si>
    <t>Техническое обслуживание расходомера электромагнитного</t>
  </si>
  <si>
    <t>СН-2012.1 Выпуск № 3 (в текущих ценах по состоянию на 01.04.2025 г.). Сб.23-2103-22-3/1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</si>
  <si>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</si>
  <si>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t>
  </si>
  <si>
    <t>СН-2012.1 Выпуск № 3 (в текущих ценах по состоянию на 01.04.2025 г.). Сб.23-2103-8-1/1</t>
  </si>
  <si>
    <t>Техническое обслуживание расходомера электромагнитного / расходомер электромагнитный фланцевый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</si>
  <si>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</si>
  <si>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</si>
  <si>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3 (в текущих ценах по состоянию на 01.04.2025 г.). Сб.23-2303-6-1/1</t>
  </si>
  <si>
    <t>1.23-2103-27-1/1</t>
  </si>
  <si>
    <t>Техническое обслуживание преобразователя давления МТ100 и аналогов</t>
  </si>
  <si>
    <t>СН-2012.1 Выпуск № 3 (в текущих ценах по состоянию на 01.04.2025 г.). Сб.23-2103-27-1/1</t>
  </si>
  <si>
    <t>1.22-2103-2-1/1</t>
  </si>
  <si>
    <t>Техническое обслуживание сетевой линии связи</t>
  </si>
  <si>
    <t>СН-2012.1 Выпуск № 3 (в текущих ценах по состоянию на 01.04.2025 г.). Сб.22-2103-2-1/1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</si>
  <si>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</si>
  <si>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t>
  </si>
  <si>
    <t>СН-2012.1 Выпуск № 3 (в текущих ценах по состоянию на 01.04.2025 г.). Сб.23-2303-5-1/1</t>
  </si>
  <si>
    <t>1.17-3401-1-1/1</t>
  </si>
  <si>
    <t>Подготовительные работы по ремонту и госповерке приборов УУТЭ (узла учета тепловой энергии)</t>
  </si>
  <si>
    <t>узел</t>
  </si>
  <si>
    <t>СН-2012.1 Выпуск № 3 (в текущих ценах по состоянию на 01.04.2025 г.). Сб.17-3401-1-1/1</t>
  </si>
  <si>
    <t>Автоматизация ИТП</t>
  </si>
  <si>
    <t>1.23-2303-19-1/1</t>
  </si>
  <si>
    <t>Техническое обслуживание шкафа блока автоматики  ЩАИТП</t>
  </si>
  <si>
    <t>СН-2012.1 Выпуск № 3 (в текущих ценах по состоянию на 01.04.2025 г.). Сб.23-2303-19-1/1</t>
  </si>
  <si>
    <t>1.21-2301-10-1/1</t>
  </si>
  <si>
    <t>Технический осмотр переключателей с боковым приводом трехполюсных, номинальный ток до 400 А</t>
  </si>
  <si>
    <t>СН-2012.1 Выпуск № 3 (в текущих ценах по состоянию на 01.04.2025 г.). Сб.21-2301-10-1/1</t>
  </si>
  <si>
    <t>1.21-2303-10-1/1</t>
  </si>
  <si>
    <t>Техническое обслуживание переключателя с боковым приводом трехполюсного, номинальный ток 400 А</t>
  </si>
  <si>
    <t>СН-2012.1 Выпуск № 3 (в текущих ценах по состоянию на 01.04.2025 г.). Сб.21-2303-10-1/1</t>
  </si>
  <si>
    <t>1.21-2301-19-1/1</t>
  </si>
  <si>
    <t>Технический осмотр выключателей автоматических однополюсных установочных на номинальный ток до 63 А</t>
  </si>
  <si>
    <t>СН-2012.1 Выпуск № 3 (в текущих ценах по состоянию на 01.04.2025 г.). Сб.21-2301-19-1/1</t>
  </si>
  <si>
    <t>1.21-2303-19-1/1</t>
  </si>
  <si>
    <t>Техническое обслуживание выключателей автоматических однополюсных установочных на номинальный ток до 63 А</t>
  </si>
  <si>
    <t>СН-2012.1 Выпуск № 3 (в текущих ценах по состоянию на 01.04.2025 г.). Сб.21-2303-19-1/1</t>
  </si>
  <si>
    <t>1.21-2301-24-1/1</t>
  </si>
  <si>
    <t>Осмотр индикатора светосигнального светодиодного на лицевой панели распределительного устройства - ежедневный</t>
  </si>
  <si>
    <t>СН-2012.1 Выпуск № 3 (в текущих ценах по состоянию на 01.04.2025 г.). Сб.21-2301-24-1/1</t>
  </si>
  <si>
    <t>1.21-2303-39-1/1</t>
  </si>
  <si>
    <t>Техническое обслуживание индикатора светосигнального светодиодного на лицевой панели распределительного устройства - полугодовое</t>
  </si>
  <si>
    <t>СН-2012.1 Выпуск № 3 (в текущих ценах по состоянию на 01.04.2025 г.). Сб.21-2303-39-1/1</t>
  </si>
  <si>
    <t>1.23-2103-4-1/1</t>
  </si>
  <si>
    <t>Техническое обслуживание реле напряжения, реле промежуточного</t>
  </si>
  <si>
    <t>СН-2012.1 Выпуск № 3 (в текущих ценах по состоянию на 01.04.2025 г.). Сб.23-2103-4-1/1</t>
  </si>
  <si>
    <t>1.22-2203-78-1/1</t>
  </si>
  <si>
    <t>Техническое обслуживание блока питания типа БРП-12-01Л</t>
  </si>
  <si>
    <t>СН-2012.1 Выпуск № 3 (в текущих ценах по состоянию на 01.04.2025 г.). Сб.22-2203-78-1/1</t>
  </si>
  <si>
    <t>1.22-2201-67-1/1</t>
  </si>
  <si>
    <t>Технический осмотр блока питания типа БРП-12-01Л</t>
  </si>
  <si>
    <t>СН-2012.1 Выпуск № 3 (в текущих ценах по состоянию на 01.04.2025 г.). Сб.22-2201-67-1/1</t>
  </si>
  <si>
    <t>1.21-2203-23-2/1</t>
  </si>
  <si>
    <t>Техническое обслуживание понижающих трансформаторов мощностью 1,6-2,5 кВА</t>
  </si>
  <si>
    <t>СН-2012.1 Выпуск № 3 (в текущих ценах по состоянию на 01.04.2025 г.). Сб.21-2203-23-2/1</t>
  </si>
  <si>
    <t>1.23-2303-23-6/1</t>
  </si>
  <si>
    <t>Техническое обслуживание систем автоматики и диспетчеризации вентиляции - обслуживание модулей расширения</t>
  </si>
  <si>
    <t>камера</t>
  </si>
  <si>
    <t>СН-2012.1 Выпуск № 3 (в текущих ценах по состоянию на 01.04.2025 г.). Сб.23-2303-23-6/1</t>
  </si>
  <si>
    <t>3.1-2203-11-1/1</t>
  </si>
  <si>
    <t>Техническое обслуживание коммутатора 8-зонного "RU8020" / (прим)</t>
  </si>
  <si>
    <t>СН-2012.1 Выпуск № 3 (в текущих ценах по состоянию на 01.04.2025 г.). Сб.1-2203-11-1/1</t>
  </si>
  <si>
    <t>3.1-2201-11-1/1</t>
  </si>
  <si>
    <t>Технический осмотр коммутатора 8-зонного "RU8020" / (прим)</t>
  </si>
  <si>
    <t>СН-2012.1 Выпуск № 3 (в текущих ценах по состоянию на 01.04.2025 г.). Сб.1-2201-11-1/1</t>
  </si>
  <si>
    <t>1.21-2203-20-5/1</t>
  </si>
  <si>
    <t>Техническое обслуживание силовых преобразователей, преобразователь частоты</t>
  </si>
  <si>
    <t>СН-2012.1 Выпуск № 3 (в текущих ценах по состоянию на 01.04.2025 г.). Сб.21-2203-20-5/1</t>
  </si>
  <si>
    <t>Техническое обслуживание вентиляции</t>
  </si>
  <si>
    <t>Вентиляция</t>
  </si>
  <si>
    <t>Общеобменная вентиляция</t>
  </si>
  <si>
    <t>1.18-2403-16-2/1</t>
  </si>
  <si>
    <t>Очистка вытяжных установок производительностью свыше 5000 м3/ч до 20000 м3/ч</t>
  </si>
  <si>
    <t>установка</t>
  </si>
  <si>
    <t>СН-2012.1 Выпуск № 3 (в текущих ценах по состоянию на 01.04.2025 г.). Сб.18-2403-16-2/1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</si>
  <si>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</si>
  <si>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</si>
  <si>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3 (в текущих ценах по состоянию на 01.04.2025 г.). Сб.18-2403-20-2/1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</si>
  <si>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</si>
  <si>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</si>
  <si>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3 (в текущих ценах по состоянию на 01.04.2025 г.). Сб.18-2403-20-4/1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</si>
  <si>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</si>
  <si>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</si>
  <si>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3 (в текущих ценах по состоянию на 01.04.2025 г.). Сб.18-2403-20-6/1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</si>
  <si>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</si>
  <si>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</si>
  <si>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3 (в текущих ценах по состоянию на 01.04.2025 г.). Сб.18-2403-21-2/1</t>
  </si>
  <si>
    <t>1.18-2403-21-5/1</t>
  </si>
  <si>
    <t>Техническое обслуживание приточных установок производительностью до 10000 м3/ч - ежеквартальное</t>
  </si>
  <si>
    <t>СН-2012.1 Выпуск № 3 (в текущих ценах по состоянию на 01.04.2025 г.). Сб.18-2403-21-5/1</t>
  </si>
  <si>
    <t>1.18-2403-21-8/1</t>
  </si>
  <si>
    <t>Техническое обслуживание приточных установок производительностью до 10000 м3/ч - годовое</t>
  </si>
  <si>
    <t>СН-2012.1 Выпуск № 3 (в текущих ценах по состоянию на 01.04.2025 г.). Сб.18-2403-21-8/1</t>
  </si>
  <si>
    <t>1.18-2403-9-2/1</t>
  </si>
  <si>
    <t>Техническое обслуживание в течение года вытяжных установок с крышными вентиляторами производительностью по воздуху до 10000 м3/ч</t>
  </si>
  <si>
    <t>СН-2012.1 Выпуск № 3 (в текущих ценах по состоянию на 01.04.2025 г.). Сб.18-2403-9-2/1</t>
  </si>
  <si>
    <t>Техническое обслуживание вытяжных установок производительностью до 20000 м3/ч - ежемесячное / применительно до 10000 м3/ч</t>
  </si>
  <si>
    <t>Техническое обслуживание вытяжных установок производительностью до 20000 м3/ч - ежеквартальное / применительно до 10000 м3/ч</t>
  </si>
  <si>
    <t>Техническое обслуживание вытяжных установок производительностью до 20000 м3/ч - годовое / применительно до 10000 м3/ч</t>
  </si>
  <si>
    <t>Очистка и дезинфекция воздуховодов</t>
  </si>
  <si>
    <t>1.18-2103-1-1/1</t>
  </si>
  <si>
    <t>Очистка воздуховодов механизированным способом</t>
  </si>
  <si>
    <t>100 м2</t>
  </si>
  <si>
    <t>СН-2012.1 Выпуск № 3 (в текущих ценах по состоянию на 01.04.2025 г.). Сб.18-2103-1-1/1</t>
  </si>
  <si>
    <t>1.18-2103-1-2/1</t>
  </si>
  <si>
    <t>Дезинфекция воздуховодов, добавлять к поз. 1.18-2103-1-1</t>
  </si>
  <si>
    <t>СН-2012.1 Выпуск № 3 (в текущих ценах по состоянию на 01.04.2025 г.). Сб.18-2103-1-2/1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</si>
  <si>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</si>
  <si>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</si>
  <si>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</si>
  <si>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</si>
  <si>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</si>
  <si>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</si>
  <si>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</si>
  <si>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</si>
  <si>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 на 01.04.2025г.</t>
  </si>
  <si>
    <t>_OBSM_</t>
  </si>
  <si>
    <t>9999990008</t>
  </si>
  <si>
    <t>Трудозатраты рабочих</t>
  </si>
  <si>
    <t>чел.-ч.</t>
  </si>
  <si>
    <t>22.1-10-20</t>
  </si>
  <si>
    <t>СН-2012.22 Выпуск № 3 (в текущих ценах по состоянию на 01.04.2025 г.). Сб.1-10-20</t>
  </si>
  <si>
    <t>Компрессоры поршневые, производительность до 240 л/мин, объем ресивера 50 л</t>
  </si>
  <si>
    <t>маш.-ч</t>
  </si>
  <si>
    <t>21.1-25-13</t>
  </si>
  <si>
    <t>СН-2012.21 Выпуск № 3 (в текущих ценах по состоянию на 01.04.2025 г.). Сб.1-25-13</t>
  </si>
  <si>
    <t>Вода</t>
  </si>
  <si>
    <t>м3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</si>
  <si>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</si>
  <si>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</si>
  <si>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</si>
  <si>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21.1-20-7</t>
  </si>
  <si>
    <t>СН-2012.21 Выпуск № 3 (в текущих ценах по состоянию на 01.04.2025 г.). Сб.1-20-7</t>
  </si>
  <si>
    <t>Ветошь</t>
  </si>
  <si>
    <t>кг</t>
  </si>
  <si>
    <t>22.1-17-282</t>
  </si>
  <si>
    <t>СН-2012.22 Выпуск № 3 (в текущих ценах по состоянию на 01.04.2025 г.). Сб.1-17-282</t>
  </si>
  <si>
    <t>Пылесосы хозяйственные, потребляемая мощность до 1 кВт, объем мусоросборника 20 л, расход воздуха 68 л/с</t>
  </si>
  <si>
    <t>22.1-18-24</t>
  </si>
  <si>
    <t>СН-2012.22 Выпуск № 3 (в текущих ценах по состоянию на 01.04.2025 г.). Сб.1-18-24</t>
  </si>
  <si>
    <t>Автомобили полупассажирские типа ГАЗ, грузоподъемность до 2 т</t>
  </si>
  <si>
    <t>5728811000</t>
  </si>
  <si>
    <t>Прокладки из листового терморасширенного графита</t>
  </si>
  <si>
    <t>21.1-16-29</t>
  </si>
  <si>
    <t>Известь хлорная</t>
  </si>
  <si>
    <t>21.1-4-29</t>
  </si>
  <si>
    <t>СН-2012.21 Выпуск № 3 (в текущих ценах по состоянию на 01.04.2025 г.). Сб.1-4-29</t>
  </si>
  <si>
    <t>Парафин высокотекучий (масло парафиновое)</t>
  </si>
  <si>
    <t>л</t>
  </si>
  <si>
    <t>21.1-4-42</t>
  </si>
  <si>
    <t>СН-2012.21 Выпуск № 3 (в текущих ценах по состоянию на 01.04.2025 г.). Сб.1-4-42</t>
  </si>
  <si>
    <t>Смазка пластичная, антифрикционная, многоцелевая, водостойкая Литол-24</t>
  </si>
  <si>
    <t>21.1-6-114</t>
  </si>
  <si>
    <t>СН-2012.21 Выпуск № 3 (в текущих ценах по состоянию на 01.04.2025 г.). Сб.1-6-114</t>
  </si>
  <si>
    <t>Растворитель уайт-спирит (нефрас-С4 - 155/200)</t>
  </si>
  <si>
    <t>т</t>
  </si>
  <si>
    <t>21.1-16-104</t>
  </si>
  <si>
    <t>СН-2012.21 Выпуск № 3 (в текущих ценах по состоянию на 01.04.2025 г.). Сб.1-16-104</t>
  </si>
  <si>
    <t>Спирт этиловый технический</t>
  </si>
  <si>
    <t>21.1-25-185</t>
  </si>
  <si>
    <t>СН-2012.21 Выпуск № 3 (в текущих ценах по состоянию на 01.04.2025 г.). Сб.1-25-185</t>
  </si>
  <si>
    <t>Масло вазелиновое</t>
  </si>
  <si>
    <t>21.1-1-11</t>
  </si>
  <si>
    <t>СН-2012.21 Выпуск № 3 (в текущих ценах по состоянию на 01.04.2025 г.). Сб.1-1-11</t>
  </si>
  <si>
    <t>Герметик силиконовый</t>
  </si>
  <si>
    <t>21.1-25-283</t>
  </si>
  <si>
    <t>СН-2012.21 Выпуск № 3 (в текущих ценах по состоянию на 01.04.2025 г.). Сб.1-25-283</t>
  </si>
  <si>
    <t>Прокладки резиновые, уплотнительные для оборудования предприятий водопроводно-канализационного хозяйства, внутренний диаметр 15-20 мм</t>
  </si>
  <si>
    <t>22.1-30-56</t>
  </si>
  <si>
    <t>СН-2012.22 Выпуск № 3 (в текущих ценах по состоянию на 01.04.2025 г.). Сб.1-30-56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</si>
  <si>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</si>
  <si>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</si>
  <si>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</si>
  <si>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</si>
  <si>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</si>
  <si>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</si>
  <si>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3 (в текущих ценах по состоянию на 01.04.2025 г.). Сб.1-11-15</t>
  </si>
  <si>
    <t>Болты строительные с гайками с шестигранной головкой, диаметр резьбы 6 мм</t>
  </si>
  <si>
    <t>21.12-5-17</t>
  </si>
  <si>
    <t>СН-2012.21 Выпуск № 3 (в текущих ценах по состоянию на 01.04.2025 г.). Сб.12-5-17</t>
  </si>
  <si>
    <t>Кольца резиновые уплотнительные для канализации из поливинилхлоридных труб</t>
  </si>
  <si>
    <t>22.1-4-58</t>
  </si>
  <si>
    <t>СН-2012.22 Выпуск № 3 (в текущих ценах по состоянию на 01.04.2025 г.). Сб.1-4-58</t>
  </si>
  <si>
    <t>Тельферы электрические, грузоподъемность до 1 т</t>
  </si>
  <si>
    <t>21.1-25-137</t>
  </si>
  <si>
    <t>СН-2012.21 Выпуск № 3 (в текущих ценах по состоянию на 01.04.2025 г.). Сб.1-25-137</t>
  </si>
  <si>
    <t>Лента изоляционная ПВХ, размер 15х0,2 мм</t>
  </si>
  <si>
    <t>21.1-4-64</t>
  </si>
  <si>
    <t>СН-2012.21 Выпуск № 3 (в текущих ценах по состоянию на 01.04.2025 г.). Сб.1-4-64</t>
  </si>
  <si>
    <t>Масло индустриальное медицинское белое на основе парафинов</t>
  </si>
  <si>
    <t>21.1-20-10</t>
  </si>
  <si>
    <t>СН-2012.21 Выпуск № 3 (в текущих ценах по состоянию на 01.04.2025 г.). Сб.1-20-10</t>
  </si>
  <si>
    <t>Лента изоляционная хлопчатобумажная</t>
  </si>
  <si>
    <t>21.1-25-1143</t>
  </si>
  <si>
    <t>СН-2012.21 Выпуск № 3 (в текущих ценах по состоянию на 01.04.2025 г.). Сб.1-25-1143</t>
  </si>
  <si>
    <t>Обезжириватель универсальный на углеводородной основе</t>
  </si>
  <si>
    <t>21.33-5-300</t>
  </si>
  <si>
    <t>СН-2012.21 Выпуск № 3 (в текущих ценах по состоянию на 01.04.2025 г.). Сб.33-5-300</t>
  </si>
  <si>
    <t>Материал фильтрующий нетканый из полиэстера, грубой очистки класса G3</t>
  </si>
  <si>
    <t>м2</t>
  </si>
  <si>
    <t>21.1-25-389</t>
  </si>
  <si>
    <t>СН-2012.21 Выпуск № 3 (в текущих ценах по состоянию на 01.04.2025 г.). Сб.1-25-389</t>
  </si>
  <si>
    <t>Шкурка шлифовальная на тканевой основе водостойкая</t>
  </si>
  <si>
    <t>21.1-11-21</t>
  </si>
  <si>
    <t>СН-2012.21 Выпуск № 3 (в текущих ценах по состоянию на 01.04.2025 г.). Сб.1-11-21</t>
  </si>
  <si>
    <t>Болты строительные черные с гайками и шайбами (10х100мм)</t>
  </si>
  <si>
    <t>21.1-24-43</t>
  </si>
  <si>
    <t>СН-2012.21 Выпуск № 3 (в текущих ценах по состоянию на 01.04.2025 г.). Сб.1-24-43</t>
  </si>
  <si>
    <t>Средство жидкое микробиоцидное для дезинфекции и предстерилизационной очистки, типа "Экодез-50"</t>
  </si>
  <si>
    <t>21.1-25-284</t>
  </si>
  <si>
    <t>СН-2012.21 Выпуск № 3 (в текущих ценах по состоянию на 01.04.2025 г.). Сб.1-25-284</t>
  </si>
  <si>
    <t>Прокладки резиновые, уплотнительные, диаметр 30-40 мм, марка 7057-3</t>
  </si>
  <si>
    <t>21.1-4-46</t>
  </si>
  <si>
    <t>СН-2012.21 Выпуск № 3 (в текущих ценах по состоянию на 01.04.2025 г.). Сб.1-4-46</t>
  </si>
  <si>
    <t>Солидол жировой</t>
  </si>
  <si>
    <t>21.1-11-95</t>
  </si>
  <si>
    <t>СН-2012.21 Выпуск № 3 (в текущих ценах по состоянию на 01.04.2025 г.). Сб.1-11-95</t>
  </si>
  <si>
    <t>Шайбы для болтов черные</t>
  </si>
  <si>
    <t>21.1-4-9</t>
  </si>
  <si>
    <t>СН-2012.21 Выпуск № 3 (в текущих ценах по состоянию на 01.04.2025 г.). Сб.1-4-9</t>
  </si>
  <si>
    <t>Керосин</t>
  </si>
  <si>
    <t>21.1-6-48</t>
  </si>
  <si>
    <t>СН-2012.21 Выпуск № 3 (в текущих ценах по состоянию на 01.04.2025 г.). Сб.1-6-48</t>
  </si>
  <si>
    <t>Краски масляные жидкотертые цветные (готовые к употреблению) для наружных и внутренних работ, марка МА-25</t>
  </si>
  <si>
    <t>21.1-6-90</t>
  </si>
  <si>
    <t>Олифа для окраски комбинированная оксоль</t>
  </si>
  <si>
    <t>21.1-23-9</t>
  </si>
  <si>
    <t>СН-2012.21 Выпуск № 3 (в текущих ценах по состоянию на 01.04.2025 г.). Сб.1-23-9</t>
  </si>
  <si>
    <t>Электроды, тип Э-42, 46, 50, диаметр 4 - 6 мм</t>
  </si>
  <si>
    <t>21.1-25-399</t>
  </si>
  <si>
    <t>СН-2012.21 Выпуск № 3 (в текущих ценах по состоянию на 01.04.2025 г.). Сб.1-25-399</t>
  </si>
  <si>
    <t>Шнур асбестовый, общего назначения, марка ШАОН-1, диаметр 0,75 мм,</t>
  </si>
  <si>
    <t>21.1-4-10</t>
  </si>
  <si>
    <t>СН-2012.21 Выпуск № 3 (в текущих ценах по состоянию на 01.04.2025 г.). Сб.1-4-10</t>
  </si>
  <si>
    <t>Кислород технический газообразный</t>
  </si>
  <si>
    <t>21.1-4-2</t>
  </si>
  <si>
    <t>СН-2012.21 Выпуск № 3 (в текущих ценах по состоянию на 01.04.2025 г.). Сб.1-4-2</t>
  </si>
  <si>
    <t>Ацетилен технический</t>
  </si>
  <si>
    <t>21.1-6-68</t>
  </si>
  <si>
    <t>СН-2012.21 Выпуск № 3 (в текущих ценах по состоянию на 01.04.2025 г.). Сб.1-6-68</t>
  </si>
  <si>
    <t>Лак битумный, марка БТ-577</t>
  </si>
  <si>
    <t>21.1-4-34</t>
  </si>
  <si>
    <t>СН-2012.21 Выпуск № 3 (в текущих ценах по состоянию на 01.04.2025 г.). Сб.1-4-34</t>
  </si>
  <si>
    <t>Растворитель нефтяной, марка Нефрас С-50/170</t>
  </si>
  <si>
    <t>21.26-2-2</t>
  </si>
  <si>
    <t>СН-2012.21 Выпуск № 3 (в текущих ценах по состоянию на 01.04.2025 г.). Сб.26-2-2</t>
  </si>
  <si>
    <t>Бумага индикаторная (полоски) универсальная pH 0-12</t>
  </si>
  <si>
    <t>21.1-4-17</t>
  </si>
  <si>
    <t>СН-2012.21 Выпуск № 3 (в текущих ценах по состоянию на 01.04.2025 г.). Сб.1-4-17</t>
  </si>
  <si>
    <t>Масло индустриальное, марка И-30А</t>
  </si>
  <si>
    <t>21.1-4-3</t>
  </si>
  <si>
    <t>СН-2012.21 Выпуск № 3 (в текущих ценах по состоянию на 01.04.2025 г.). Сб.1-4-3</t>
  </si>
  <si>
    <t>Бензин</t>
  </si>
  <si>
    <t>22.1-13-6</t>
  </si>
  <si>
    <t>СН-2012.22 Выпуск № 3 (в текущих ценах по состоянию на 01.04.2025 г.). Сб.1-13-6</t>
  </si>
  <si>
    <t>Трансформаторы сварочные</t>
  </si>
  <si>
    <t>21.12-6-136</t>
  </si>
  <si>
    <t>СН-2012.21 Выпуск № 3 (в текущих ценах по состоянию на 01.04.2025 г.). Сб.12-6-136</t>
  </si>
  <si>
    <t>Трубы стальные электросварные прямошовные, ГОСТ 10705-80, ГОСТ 10704-91, наружный диаметр 89 мм, толщина стенки 4 мм</t>
  </si>
  <si>
    <t>м</t>
  </si>
  <si>
    <t>21.12-9-24</t>
  </si>
  <si>
    <t>СН-2012.21 Выпуск № 3 (в текущих ценах по состоянию на 01.04.2025 г.). Сб.12-9-24</t>
  </si>
  <si>
    <t>Фланцы стальные плоские приварные с соединительным выступом, из стали ВСт3СП, ГОСТ 12820-80, условное давление 1,6 (16) МПа (кгс/см2), диаметр условного прохода 80мм</t>
  </si>
  <si>
    <t>21.18-7-2</t>
  </si>
  <si>
    <t>СН-2012.21 Выпуск № 3 (в текущих ценах по состоянию на 01.04.2025 г.). Сб.18-7-2</t>
  </si>
  <si>
    <t>Прокладка уплотнительная паронитовая, толщина 0,5-2,5 мм</t>
  </si>
  <si>
    <t>21.1-20-1</t>
  </si>
  <si>
    <t>СН-2012.21 Выпуск № 3 (в текущих ценах по состоянию на 01.04.2025 г.). Сб.1-20-1</t>
  </si>
  <si>
    <t>Бязь</t>
  </si>
  <si>
    <t>21.1-25-191</t>
  </si>
  <si>
    <t>Мыло жидкое (мыловар)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</si>
  <si>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</si>
  <si>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</si>
  <si>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22.1-17-204</t>
  </si>
  <si>
    <t>СН-2012.22 Выпуск № 3 (в текущих ценах по состоянию на 01.04.2025 г.). Сб.1-17-204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</si>
  <si>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</si>
  <si>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</si>
  <si>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3 (в текущих ценах по состоянию на 01.04.2025 г.). Сб.1-17-209</t>
  </si>
  <si>
    <t>Машины щеточные электрические для очистки воздуховодов диаметром от 100 до 400 мм</t>
  </si>
  <si>
    <t>22.1-17-205</t>
  </si>
  <si>
    <t>СН-2012.22 Выпуск № 3 (в текущих ценах по состоянию на 01.04.2025 г.). Сб.1-17-205</t>
  </si>
  <si>
    <t>Генераторы холодного тумана аэрозольные, производительность до 19 л/ч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</si>
  <si>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</si>
  <si>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</si>
  <si>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</si>
  <si>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</si>
  <si>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</si>
  <si>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</si>
  <si>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</si>
  <si>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</si>
  <si>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</si>
  <si>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</si>
  <si>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</si>
  <si>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</si>
  <si>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</si>
  <si>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</si>
  <si>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</si>
  <si>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</si>
  <si>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</si>
  <si>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</si>
  <si>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</si>
  <si>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</si>
  <si>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</si>
  <si>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</si>
  <si>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</si>
  <si>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</si>
  <si>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</si>
  <si>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</si>
  <si>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апрель 2025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</si>
  <si>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</si>
  <si>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</si>
  <si>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</si>
  <si>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</si>
  <si>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</si>
  <si>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</si>
  <si>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</si>
  <si>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</si>
  <si>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МР</t>
  </si>
  <si>
    <t>НР и СП от ЗПМ</t>
  </si>
  <si>
    <t xml:space="preserve">Составил   </t>
  </si>
  <si>
    <t>[должность,подпись(инициалы,фамилия)]</t>
  </si>
  <si>
    <t xml:space="preserve">Проверил   </t>
  </si>
  <si>
    <t>6.5.1_Ж/Д вокзал и депо_на 4 месяца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</si>
</sst>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/>
    <xf numFmtId="0" fontId="10" fillId="0" borderId="1" xfId="0" applyFont="1" applyBorder="1"/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165" fontId="16" fillId="0" borderId="6" xfId="0" applyNumberFormat="1" applyFont="1" applyBorder="1" applyAlignment="1">
      <alignment horizontal="right"/>
    </xf>
    <xf numFmtId="0" fontId="17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20"/>
  <sheetViews>
    <sheetView tabSelected="1" topLeftCell="A795" zoomScaleNormal="100" workbookViewId="0">
      <selection activeCell="I813" sqref="I813:J81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9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3" t="s">
        <v>616</v>
      </c>
      <c r="K2" s="43"/>
    </row>
    <row r="3" spans="1:11" ht="16.5" x14ac:dyDescent="0.25">
      <c r="A3" s="11"/>
      <c r="B3" s="50" t="s">
        <v>614</v>
      </c>
      <c r="C3" s="50"/>
      <c r="D3" s="50"/>
      <c r="E3" s="50"/>
      <c r="F3" s="10"/>
      <c r="G3" s="50" t="s">
        <v>615</v>
      </c>
      <c r="H3" s="50"/>
      <c r="I3" s="50"/>
      <c r="J3" s="50"/>
      <c r="K3" s="50"/>
    </row>
    <row r="4" spans="1:11" ht="14.25" x14ac:dyDescent="0.2">
      <c r="A4" s="10"/>
      <c r="B4" s="42"/>
      <c r="C4" s="42"/>
      <c r="D4" s="42"/>
      <c r="E4" s="42"/>
      <c r="F4" s="10"/>
      <c r="G4" s="42"/>
      <c r="H4" s="42"/>
      <c r="I4" s="42"/>
      <c r="J4" s="42"/>
      <c r="K4" s="42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2" t="str">
        <f>CONCATENATE("______________________ ", IF(Source!AL12&lt;&gt;"", Source!AL12, ""))</f>
        <v xml:space="preserve">______________________ </v>
      </c>
      <c r="C6" s="42"/>
      <c r="D6" s="42"/>
      <c r="E6" s="42"/>
      <c r="F6" s="10"/>
      <c r="G6" s="42" t="str">
        <f>CONCATENATE("______________________ ", IF(Source!AH12&lt;&gt;"", Source!AH12, ""))</f>
        <v xml:space="preserve">______________________ </v>
      </c>
      <c r="H6" s="42"/>
      <c r="I6" s="42"/>
      <c r="J6" s="42"/>
      <c r="K6" s="42"/>
    </row>
    <row r="7" spans="1:11" ht="14.25" x14ac:dyDescent="0.2">
      <c r="A7" s="13"/>
      <c r="B7" s="30" t="s">
        <v>617</v>
      </c>
      <c r="C7" s="30"/>
      <c r="D7" s="30"/>
      <c r="E7" s="30"/>
      <c r="F7" s="10"/>
      <c r="G7" s="30" t="s">
        <v>617</v>
      </c>
      <c r="H7" s="30"/>
      <c r="I7" s="30"/>
      <c r="J7" s="30"/>
      <c r="K7" s="30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47" t="str">
        <f>CONCATENATE( "ЛОКАЛЬНАЯ СМЕТА № ",IF(Source!F12&lt;&gt;"Новый объект", Source!F12, ""))</f>
        <v>ЛОКАЛЬНАЯ СМЕТА № Новый объект_(Копия)_(Копия)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">
      <c r="A11" s="45" t="s">
        <v>618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4" t="str">
        <f>IF(Source!G12&lt;&gt;"Новый объект", Source!G12, "")</f>
        <v>6.5.1_Ж/Д вокзал и депо_на 4 месяца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 x14ac:dyDescent="0.2">
      <c r="A16" s="45" t="s">
        <v>619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0" t="str">
        <f>CONCATENATE( "Основание: чертежи № ", Source!J12)</f>
        <v xml:space="preserve">Основание: чертежи № 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2" t="s">
        <v>620</v>
      </c>
      <c r="G20" s="42"/>
      <c r="H20" s="42"/>
      <c r="I20" s="31">
        <f>I21+I22+I23+I24</f>
        <v>1570.75</v>
      </c>
      <c r="J20" s="43"/>
      <c r="K20" s="10" t="s">
        <v>621</v>
      </c>
    </row>
    <row r="21" spans="1:11" ht="14.25" hidden="1" x14ac:dyDescent="0.2">
      <c r="A21" s="10"/>
      <c r="B21" s="10"/>
      <c r="C21" s="10"/>
      <c r="D21" s="10"/>
      <c r="E21" s="10"/>
      <c r="F21" s="42" t="s">
        <v>622</v>
      </c>
      <c r="G21" s="42"/>
      <c r="H21" s="42"/>
      <c r="I21" s="31">
        <f>ROUND((Source!F671)/1000, 2)</f>
        <v>0</v>
      </c>
      <c r="J21" s="43"/>
      <c r="K21" s="10" t="s">
        <v>621</v>
      </c>
    </row>
    <row r="22" spans="1:11" ht="14.25" hidden="1" x14ac:dyDescent="0.2">
      <c r="A22" s="10"/>
      <c r="B22" s="10"/>
      <c r="C22" s="10"/>
      <c r="D22" s="10"/>
      <c r="E22" s="10"/>
      <c r="F22" s="42" t="s">
        <v>623</v>
      </c>
      <c r="G22" s="42"/>
      <c r="H22" s="42"/>
      <c r="I22" s="31">
        <f>ROUND((Source!F672)/1000, 2)</f>
        <v>0</v>
      </c>
      <c r="J22" s="43"/>
      <c r="K22" s="10" t="s">
        <v>621</v>
      </c>
    </row>
    <row r="23" spans="1:11" ht="14.25" hidden="1" x14ac:dyDescent="0.2">
      <c r="A23" s="10"/>
      <c r="B23" s="10"/>
      <c r="C23" s="10"/>
      <c r="D23" s="10"/>
      <c r="E23" s="10"/>
      <c r="F23" s="42" t="s">
        <v>624</v>
      </c>
      <c r="G23" s="42"/>
      <c r="H23" s="42"/>
      <c r="I23" s="31">
        <f>ROUND((Source!F663)/1000, 2)</f>
        <v>0</v>
      </c>
      <c r="J23" s="43"/>
      <c r="K23" s="10" t="s">
        <v>621</v>
      </c>
    </row>
    <row r="24" spans="1:11" ht="14.25" hidden="1" x14ac:dyDescent="0.2">
      <c r="A24" s="10"/>
      <c r="B24" s="10"/>
      <c r="C24" s="10"/>
      <c r="D24" s="10"/>
      <c r="E24" s="10"/>
      <c r="F24" s="42" t="s">
        <v>625</v>
      </c>
      <c r="G24" s="42"/>
      <c r="H24" s="42"/>
      <c r="I24" s="31">
        <f>ROUND((Source!F673+Source!F674)/1000, 2)</f>
        <v>1570.75</v>
      </c>
      <c r="J24" s="43"/>
      <c r="K24" s="10" t="s">
        <v>621</v>
      </c>
    </row>
    <row r="25" spans="1:11" ht="14.25" x14ac:dyDescent="0.2">
      <c r="A25" s="10"/>
      <c r="B25" s="10"/>
      <c r="C25" s="10"/>
      <c r="D25" s="10"/>
      <c r="E25" s="10"/>
      <c r="F25" s="42" t="s">
        <v>626</v>
      </c>
      <c r="G25" s="42"/>
      <c r="H25" s="42"/>
      <c r="I25" s="31">
        <f>(Source!F669+ Source!F668)/1000</f>
        <v>849.11486000000002</v>
      </c>
      <c r="J25" s="43"/>
      <c r="K25" s="10" t="s">
        <v>621</v>
      </c>
    </row>
    <row r="26" spans="1:11" ht="14.25" x14ac:dyDescent="0.2">
      <c r="A26" s="10" t="s">
        <v>640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0" t="s">
        <v>627</v>
      </c>
      <c r="B27" s="40" t="s">
        <v>628</v>
      </c>
      <c r="C27" s="40" t="s">
        <v>629</v>
      </c>
      <c r="D27" s="40" t="s">
        <v>630</v>
      </c>
      <c r="E27" s="40" t="s">
        <v>631</v>
      </c>
      <c r="F27" s="40" t="s">
        <v>632</v>
      </c>
      <c r="G27" s="40" t="s">
        <v>633</v>
      </c>
      <c r="H27" s="40" t="s">
        <v>634</v>
      </c>
      <c r="I27" s="40" t="s">
        <v>635</v>
      </c>
      <c r="J27" s="40" t="s">
        <v>636</v>
      </c>
      <c r="K27" s="16" t="s">
        <v>637</v>
      </c>
    </row>
    <row r="28" spans="1:11" ht="28.5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17" t="s">
        <v>638</v>
      </c>
    </row>
    <row r="29" spans="1:11" ht="28.5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17" t="s">
        <v>639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x14ac:dyDescent="0.25">
      <c r="A32" s="37" t="str">
        <f>CONCATENATE("Локальная смета: ",IF(Source!G20&lt;&gt;"Новая локальная смета", Source!G20, ""))</f>
        <v xml:space="preserve">Локальная смета: 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4" spans="1:22" ht="16.5" x14ac:dyDescent="0.25">
      <c r="A34" s="37" t="str">
        <f>CONCATENATE("Раздел: ",IF(Source!G24&lt;&gt;"Новый раздел", Source!G24, ""))</f>
        <v>Раздел: Система отопления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pans="1:22" ht="42.75" x14ac:dyDescent="0.2">
      <c r="A35" s="18">
        <v>1</v>
      </c>
      <c r="B35" s="18" t="str">
        <f>Source!F28</f>
        <v>1.15-2101-1-1/1</v>
      </c>
      <c r="C35" s="18" t="str">
        <f>Source!G28</f>
        <v>Осмотр магистральных неизолированных внутренних трубопроводов диаметром до 100 мм</v>
      </c>
      <c r="D35" s="19" t="str">
        <f>Source!H28</f>
        <v>100 м</v>
      </c>
      <c r="E35" s="9">
        <f>Source!I28</f>
        <v>0.61124999999999996</v>
      </c>
      <c r="F35" s="21"/>
      <c r="G35" s="20"/>
      <c r="H35" s="9"/>
      <c r="I35" s="9"/>
      <c r="J35" s="21"/>
      <c r="K35" s="21"/>
      <c r="Q35">
        <f>ROUND((Source!BZ28/100)*ROUND((Source!AF28*Source!AV28)*Source!I28, 2), 2)</f>
        <v>743.87</v>
      </c>
      <c r="R35">
        <f>Source!X28</f>
        <v>743.87</v>
      </c>
      <c r="S35">
        <f>ROUND((Source!CA28/100)*ROUND((Source!AF28*Source!AV28)*Source!I28, 2), 2)</f>
        <v>106.27</v>
      </c>
      <c r="T35">
        <f>Source!Y28</f>
        <v>106.27</v>
      </c>
      <c r="U35">
        <f>ROUND((175/100)*ROUND((Source!AE28*Source!AV28)*Source!I28, 2), 2)</f>
        <v>0</v>
      </c>
      <c r="V35">
        <f>ROUND((108/100)*ROUND(Source!CS28*Source!I28, 2), 2)</f>
        <v>0</v>
      </c>
    </row>
    <row r="36" spans="1:22" x14ac:dyDescent="0.2">
      <c r="C36" s="22" t="str">
        <f>"Объем: "&amp;Source!I28&amp;"=(2445)*"&amp;"0,25*"&amp;"0,1/"&amp;"100"</f>
        <v>Объем: 0,61125=(2445)*0,25*0,1/100</v>
      </c>
    </row>
    <row r="37" spans="1:22" ht="14.25" x14ac:dyDescent="0.2">
      <c r="A37" s="18"/>
      <c r="B37" s="18"/>
      <c r="C37" s="18" t="s">
        <v>641</v>
      </c>
      <c r="D37" s="19"/>
      <c r="E37" s="9"/>
      <c r="F37" s="21">
        <f>Source!AO28</f>
        <v>434.63</v>
      </c>
      <c r="G37" s="20" t="str">
        <f>Source!DG28</f>
        <v>)*4</v>
      </c>
      <c r="H37" s="9">
        <f>Source!AV28</f>
        <v>1</v>
      </c>
      <c r="I37" s="9">
        <f>IF(Source!BA28&lt;&gt; 0, Source!BA28, 1)</f>
        <v>1</v>
      </c>
      <c r="J37" s="21">
        <f>Source!S28</f>
        <v>1062.67</v>
      </c>
      <c r="K37" s="21"/>
    </row>
    <row r="38" spans="1:22" ht="14.25" x14ac:dyDescent="0.2">
      <c r="A38" s="18"/>
      <c r="B38" s="18"/>
      <c r="C38" s="18" t="s">
        <v>642</v>
      </c>
      <c r="D38" s="19" t="s">
        <v>643</v>
      </c>
      <c r="E38" s="9">
        <f>Source!AT28</f>
        <v>70</v>
      </c>
      <c r="F38" s="21"/>
      <c r="G38" s="20"/>
      <c r="H38" s="9"/>
      <c r="I38" s="9"/>
      <c r="J38" s="21">
        <f>SUM(R35:R37)</f>
        <v>743.87</v>
      </c>
      <c r="K38" s="21"/>
    </row>
    <row r="39" spans="1:22" ht="14.25" x14ac:dyDescent="0.2">
      <c r="A39" s="18"/>
      <c r="B39" s="18"/>
      <c r="C39" s="18" t="s">
        <v>644</v>
      </c>
      <c r="D39" s="19" t="s">
        <v>643</v>
      </c>
      <c r="E39" s="9">
        <f>Source!AU28</f>
        <v>10</v>
      </c>
      <c r="F39" s="21"/>
      <c r="G39" s="20"/>
      <c r="H39" s="9"/>
      <c r="I39" s="9"/>
      <c r="J39" s="21">
        <f>SUM(T35:T38)</f>
        <v>106.27</v>
      </c>
      <c r="K39" s="21"/>
    </row>
    <row r="40" spans="1:22" ht="14.25" x14ac:dyDescent="0.2">
      <c r="A40" s="18"/>
      <c r="B40" s="18"/>
      <c r="C40" s="18" t="s">
        <v>645</v>
      </c>
      <c r="D40" s="19" t="s">
        <v>646</v>
      </c>
      <c r="E40" s="9">
        <f>Source!AQ28</f>
        <v>0.9</v>
      </c>
      <c r="F40" s="21"/>
      <c r="G40" s="20" t="str">
        <f>Source!DI28</f>
        <v>)*4</v>
      </c>
      <c r="H40" s="9">
        <f>Source!AV28</f>
        <v>1</v>
      </c>
      <c r="I40" s="9"/>
      <c r="J40" s="21"/>
      <c r="K40" s="21">
        <f>Source!U28</f>
        <v>2.2004999999999999</v>
      </c>
    </row>
    <row r="41" spans="1:22" ht="15" x14ac:dyDescent="0.25">
      <c r="A41" s="24"/>
      <c r="B41" s="24"/>
      <c r="C41" s="24"/>
      <c r="D41" s="24"/>
      <c r="E41" s="24"/>
      <c r="F41" s="24"/>
      <c r="G41" s="24"/>
      <c r="H41" s="24"/>
      <c r="I41" s="38">
        <f>J37+J38+J39</f>
        <v>1912.81</v>
      </c>
      <c r="J41" s="38"/>
      <c r="K41" s="25">
        <f>IF(Source!I28&lt;&gt;0, ROUND(I41/Source!I28, 2), 0)</f>
        <v>3129.34</v>
      </c>
      <c r="P41" s="23">
        <f>I41</f>
        <v>1912.81</v>
      </c>
    </row>
    <row r="42" spans="1:22" ht="57" x14ac:dyDescent="0.2">
      <c r="A42" s="18">
        <v>2</v>
      </c>
      <c r="B42" s="18" t="str">
        <f>Source!F29</f>
        <v>1.15-2101-2-1/1</v>
      </c>
      <c r="C42" s="18" t="str">
        <f>Source!G29</f>
        <v>Осмотр магистральных неизолированных внутренних трубопроводов диаметром до 100 мм с лестниц</v>
      </c>
      <c r="D42" s="19" t="str">
        <f>Source!H29</f>
        <v>100 м</v>
      </c>
      <c r="E42" s="9">
        <f>Source!I29</f>
        <v>1.83375</v>
      </c>
      <c r="F42" s="21"/>
      <c r="G42" s="20"/>
      <c r="H42" s="9"/>
      <c r="I42" s="9"/>
      <c r="J42" s="21"/>
      <c r="K42" s="21"/>
      <c r="Q42">
        <f>ROUND((Source!BZ29/100)*ROUND((Source!AF29*Source!AV29)*Source!I29, 2), 2)</f>
        <v>6545.97</v>
      </c>
      <c r="R42">
        <f>Source!X29</f>
        <v>6545.97</v>
      </c>
      <c r="S42">
        <f>ROUND((Source!CA29/100)*ROUND((Source!AF29*Source!AV29)*Source!I29, 2), 2)</f>
        <v>935.14</v>
      </c>
      <c r="T42">
        <f>Source!Y29</f>
        <v>935.14</v>
      </c>
      <c r="U42">
        <f>ROUND((175/100)*ROUND((Source!AE29*Source!AV29)*Source!I29, 2), 2)</f>
        <v>0</v>
      </c>
      <c r="V42">
        <f>ROUND((108/100)*ROUND(Source!CS29*Source!I29, 2), 2)</f>
        <v>0</v>
      </c>
    </row>
    <row r="43" spans="1:22" x14ac:dyDescent="0.2">
      <c r="C43" s="22" t="str">
        <f>"Объем: "&amp;Source!I29&amp;"=(2445)*"&amp;"0,75*"&amp;"0,1/"&amp;"100"</f>
        <v>Объем: 1,83375=(2445)*0,75*0,1/100</v>
      </c>
    </row>
    <row r="44" spans="1:22" ht="14.25" x14ac:dyDescent="0.2">
      <c r="A44" s="18"/>
      <c r="B44" s="18"/>
      <c r="C44" s="18" t="s">
        <v>641</v>
      </c>
      <c r="D44" s="19"/>
      <c r="E44" s="9"/>
      <c r="F44" s="21">
        <f>Source!AO29</f>
        <v>1274.9000000000001</v>
      </c>
      <c r="G44" s="20" t="str">
        <f>Source!DG29</f>
        <v>)*4</v>
      </c>
      <c r="H44" s="9">
        <f>Source!AV29</f>
        <v>1</v>
      </c>
      <c r="I44" s="9">
        <f>IF(Source!BA29&lt;&gt; 0, Source!BA29, 1)</f>
        <v>1</v>
      </c>
      <c r="J44" s="21">
        <f>Source!S29</f>
        <v>9351.39</v>
      </c>
      <c r="K44" s="21"/>
    </row>
    <row r="45" spans="1:22" ht="14.25" x14ac:dyDescent="0.2">
      <c r="A45" s="18"/>
      <c r="B45" s="18"/>
      <c r="C45" s="18" t="s">
        <v>642</v>
      </c>
      <c r="D45" s="19" t="s">
        <v>643</v>
      </c>
      <c r="E45" s="9">
        <f>Source!AT29</f>
        <v>70</v>
      </c>
      <c r="F45" s="21"/>
      <c r="G45" s="20"/>
      <c r="H45" s="9"/>
      <c r="I45" s="9"/>
      <c r="J45" s="21">
        <f>SUM(R42:R44)</f>
        <v>6545.97</v>
      </c>
      <c r="K45" s="21"/>
    </row>
    <row r="46" spans="1:22" ht="14.25" x14ac:dyDescent="0.2">
      <c r="A46" s="18"/>
      <c r="B46" s="18"/>
      <c r="C46" s="18" t="s">
        <v>644</v>
      </c>
      <c r="D46" s="19" t="s">
        <v>643</v>
      </c>
      <c r="E46" s="9">
        <f>Source!AU29</f>
        <v>10</v>
      </c>
      <c r="F46" s="21"/>
      <c r="G46" s="20"/>
      <c r="H46" s="9"/>
      <c r="I46" s="9"/>
      <c r="J46" s="21">
        <f>SUM(T42:T45)</f>
        <v>935.14</v>
      </c>
      <c r="K46" s="21"/>
    </row>
    <row r="47" spans="1:22" ht="14.25" x14ac:dyDescent="0.2">
      <c r="A47" s="18"/>
      <c r="B47" s="18"/>
      <c r="C47" s="18" t="s">
        <v>645</v>
      </c>
      <c r="D47" s="19" t="s">
        <v>646</v>
      </c>
      <c r="E47" s="9">
        <f>Source!AQ29</f>
        <v>2.64</v>
      </c>
      <c r="F47" s="21"/>
      <c r="G47" s="20" t="str">
        <f>Source!DI29</f>
        <v>)*4</v>
      </c>
      <c r="H47" s="9">
        <f>Source!AV29</f>
        <v>1</v>
      </c>
      <c r="I47" s="9"/>
      <c r="J47" s="21"/>
      <c r="K47" s="21">
        <f>Source!U29</f>
        <v>19.3644</v>
      </c>
    </row>
    <row r="48" spans="1:22" ht="15" x14ac:dyDescent="0.25">
      <c r="A48" s="24"/>
      <c r="B48" s="24"/>
      <c r="C48" s="24"/>
      <c r="D48" s="24"/>
      <c r="E48" s="24"/>
      <c r="F48" s="24"/>
      <c r="G48" s="24"/>
      <c r="H48" s="24"/>
      <c r="I48" s="38">
        <f>J44+J45+J46</f>
        <v>16832.5</v>
      </c>
      <c r="J48" s="38"/>
      <c r="K48" s="25">
        <f>IF(Source!I29&lt;&gt;0, ROUND(I48/Source!I29, 2), 0)</f>
        <v>9179.2800000000007</v>
      </c>
      <c r="P48" s="23">
        <f>I48</f>
        <v>16832.5</v>
      </c>
    </row>
    <row r="49" spans="1:22" ht="57" x14ac:dyDescent="0.2">
      <c r="A49" s="18">
        <v>3</v>
      </c>
      <c r="B49" s="18" t="str">
        <f>Source!F32</f>
        <v>1.17-2103-15-1/1</v>
      </c>
      <c r="C49" s="18" t="str">
        <f>Source!G32</f>
        <v>Техническое обслуживание конвекторов, встраиваемых в пол, длиной короба 1100 мм, шириной короба до 140 мм</v>
      </c>
      <c r="D49" s="19" t="str">
        <f>Source!H32</f>
        <v>10 шт.</v>
      </c>
      <c r="E49" s="9">
        <f>Source!I32</f>
        <v>5</v>
      </c>
      <c r="F49" s="21"/>
      <c r="G49" s="20"/>
      <c r="H49" s="9"/>
      <c r="I49" s="9"/>
      <c r="J49" s="21"/>
      <c r="K49" s="21"/>
      <c r="Q49">
        <f>ROUND((Source!BZ32/100)*ROUND((Source!AF32*Source!AV32)*Source!I32, 2), 2)</f>
        <v>2213.9299999999998</v>
      </c>
      <c r="R49">
        <f>Source!X32</f>
        <v>2213.9299999999998</v>
      </c>
      <c r="S49">
        <f>ROUND((Source!CA32/100)*ROUND((Source!AF32*Source!AV32)*Source!I32, 2), 2)</f>
        <v>316.27999999999997</v>
      </c>
      <c r="T49">
        <f>Source!Y32</f>
        <v>316.27999999999997</v>
      </c>
      <c r="U49">
        <f>ROUND((175/100)*ROUND((Source!AE32*Source!AV32)*Source!I32, 2), 2)</f>
        <v>0.09</v>
      </c>
      <c r="V49">
        <f>ROUND((108/100)*ROUND(Source!CS32*Source!I32, 2), 2)</f>
        <v>0.05</v>
      </c>
    </row>
    <row r="50" spans="1:22" x14ac:dyDescent="0.2">
      <c r="C50" s="22" t="str">
        <f>"Объем: "&amp;Source!I32&amp;"=50/"&amp;"10"</f>
        <v>Объем: 5=50/10</v>
      </c>
    </row>
    <row r="51" spans="1:22" ht="14.25" x14ac:dyDescent="0.2">
      <c r="A51" s="18"/>
      <c r="B51" s="18"/>
      <c r="C51" s="18" t="s">
        <v>641</v>
      </c>
      <c r="D51" s="19"/>
      <c r="E51" s="9"/>
      <c r="F51" s="21">
        <f>Source!AO32</f>
        <v>632.54999999999995</v>
      </c>
      <c r="G51" s="20" t="str">
        <f>Source!DG32</f>
        <v/>
      </c>
      <c r="H51" s="9">
        <f>Source!AV32</f>
        <v>1</v>
      </c>
      <c r="I51" s="9">
        <f>IF(Source!BA32&lt;&gt; 0, Source!BA32, 1)</f>
        <v>1</v>
      </c>
      <c r="J51" s="21">
        <f>Source!S32</f>
        <v>3162.75</v>
      </c>
      <c r="K51" s="21"/>
    </row>
    <row r="52" spans="1:22" ht="14.25" x14ac:dyDescent="0.2">
      <c r="A52" s="18"/>
      <c r="B52" s="18"/>
      <c r="C52" s="18" t="s">
        <v>647</v>
      </c>
      <c r="D52" s="19"/>
      <c r="E52" s="9"/>
      <c r="F52" s="21">
        <f>Source!AM32</f>
        <v>1.93</v>
      </c>
      <c r="G52" s="20" t="str">
        <f>Source!DE32</f>
        <v/>
      </c>
      <c r="H52" s="9">
        <f>Source!AV32</f>
        <v>1</v>
      </c>
      <c r="I52" s="9">
        <f>IF(Source!BB32&lt;&gt; 0, Source!BB32, 1)</f>
        <v>1</v>
      </c>
      <c r="J52" s="21">
        <f>Source!Q32</f>
        <v>9.65</v>
      </c>
      <c r="K52" s="21"/>
    </row>
    <row r="53" spans="1:22" ht="14.25" x14ac:dyDescent="0.2">
      <c r="A53" s="18"/>
      <c r="B53" s="18"/>
      <c r="C53" s="18" t="s">
        <v>648</v>
      </c>
      <c r="D53" s="19"/>
      <c r="E53" s="9"/>
      <c r="F53" s="21">
        <f>Source!AN32</f>
        <v>0.01</v>
      </c>
      <c r="G53" s="20" t="str">
        <f>Source!DF32</f>
        <v/>
      </c>
      <c r="H53" s="9">
        <f>Source!AV32</f>
        <v>1</v>
      </c>
      <c r="I53" s="9">
        <f>IF(Source!BS32&lt;&gt; 0, Source!BS32, 1)</f>
        <v>1</v>
      </c>
      <c r="J53" s="26">
        <f>Source!R32</f>
        <v>0.05</v>
      </c>
      <c r="K53" s="21"/>
    </row>
    <row r="54" spans="1:22" ht="14.25" x14ac:dyDescent="0.2">
      <c r="A54" s="18"/>
      <c r="B54" s="18"/>
      <c r="C54" s="18" t="s">
        <v>649</v>
      </c>
      <c r="D54" s="19"/>
      <c r="E54" s="9"/>
      <c r="F54" s="21">
        <f>Source!AL32</f>
        <v>0.68</v>
      </c>
      <c r="G54" s="20" t="str">
        <f>Source!DD32</f>
        <v/>
      </c>
      <c r="H54" s="9">
        <f>Source!AW32</f>
        <v>1</v>
      </c>
      <c r="I54" s="9">
        <f>IF(Source!BC32&lt;&gt; 0, Source!BC32, 1)</f>
        <v>1</v>
      </c>
      <c r="J54" s="21">
        <f>Source!P32</f>
        <v>3.4</v>
      </c>
      <c r="K54" s="21"/>
    </row>
    <row r="55" spans="1:22" ht="14.25" x14ac:dyDescent="0.2">
      <c r="A55" s="18"/>
      <c r="B55" s="18"/>
      <c r="C55" s="18" t="s">
        <v>642</v>
      </c>
      <c r="D55" s="19" t="s">
        <v>643</v>
      </c>
      <c r="E55" s="9">
        <f>Source!AT32</f>
        <v>70</v>
      </c>
      <c r="F55" s="21"/>
      <c r="G55" s="20"/>
      <c r="H55" s="9"/>
      <c r="I55" s="9"/>
      <c r="J55" s="21">
        <f>SUM(R49:R54)</f>
        <v>2213.9299999999998</v>
      </c>
      <c r="K55" s="21"/>
    </row>
    <row r="56" spans="1:22" ht="14.25" x14ac:dyDescent="0.2">
      <c r="A56" s="18"/>
      <c r="B56" s="18"/>
      <c r="C56" s="18" t="s">
        <v>644</v>
      </c>
      <c r="D56" s="19" t="s">
        <v>643</v>
      </c>
      <c r="E56" s="9">
        <f>Source!AU32</f>
        <v>10</v>
      </c>
      <c r="F56" s="21"/>
      <c r="G56" s="20"/>
      <c r="H56" s="9"/>
      <c r="I56" s="9"/>
      <c r="J56" s="21">
        <f>SUM(T49:T55)</f>
        <v>316.27999999999997</v>
      </c>
      <c r="K56" s="21"/>
    </row>
    <row r="57" spans="1:22" ht="14.25" x14ac:dyDescent="0.2">
      <c r="A57" s="18"/>
      <c r="B57" s="18"/>
      <c r="C57" s="18" t="s">
        <v>650</v>
      </c>
      <c r="D57" s="19" t="s">
        <v>643</v>
      </c>
      <c r="E57" s="9">
        <f>108</f>
        <v>108</v>
      </c>
      <c r="F57" s="21"/>
      <c r="G57" s="20"/>
      <c r="H57" s="9"/>
      <c r="I57" s="9"/>
      <c r="J57" s="21">
        <f>SUM(V49:V56)</f>
        <v>0.05</v>
      </c>
      <c r="K57" s="21"/>
    </row>
    <row r="58" spans="1:22" ht="14.25" x14ac:dyDescent="0.2">
      <c r="A58" s="18"/>
      <c r="B58" s="18"/>
      <c r="C58" s="18" t="s">
        <v>645</v>
      </c>
      <c r="D58" s="19" t="s">
        <v>646</v>
      </c>
      <c r="E58" s="9">
        <f>Source!AQ32</f>
        <v>1.3</v>
      </c>
      <c r="F58" s="21"/>
      <c r="G58" s="20" t="str">
        <f>Source!DI32</f>
        <v/>
      </c>
      <c r="H58" s="9">
        <f>Source!AV32</f>
        <v>1</v>
      </c>
      <c r="I58" s="9"/>
      <c r="J58" s="21"/>
      <c r="K58" s="21">
        <f>Source!U32</f>
        <v>6.5</v>
      </c>
    </row>
    <row r="59" spans="1:22" ht="15" x14ac:dyDescent="0.25">
      <c r="A59" s="24"/>
      <c r="B59" s="24"/>
      <c r="C59" s="24"/>
      <c r="D59" s="24"/>
      <c r="E59" s="24"/>
      <c r="F59" s="24"/>
      <c r="G59" s="24"/>
      <c r="H59" s="24"/>
      <c r="I59" s="38">
        <f>J51+J52+J54+J55+J56+J57</f>
        <v>5706.0599999999995</v>
      </c>
      <c r="J59" s="38"/>
      <c r="K59" s="25">
        <f>IF(Source!I32&lt;&gt;0, ROUND(I59/Source!I32, 2), 0)</f>
        <v>1141.21</v>
      </c>
      <c r="P59" s="23">
        <f>I59</f>
        <v>5706.0599999999995</v>
      </c>
    </row>
    <row r="60" spans="1:22" ht="42.75" x14ac:dyDescent="0.2">
      <c r="A60" s="18">
        <v>4</v>
      </c>
      <c r="B60" s="18" t="str">
        <f>Source!F33</f>
        <v>1.17-2103-13-1/1</v>
      </c>
      <c r="C60" s="18" t="str">
        <f>Source!G33</f>
        <v>Техническое обслуживание стальных панельных радиаторов типа 10 высотой 300 мм длиной до 1500 мм</v>
      </c>
      <c r="D60" s="19" t="str">
        <f>Source!H33</f>
        <v>шт.</v>
      </c>
      <c r="E60" s="9">
        <f>Source!I33</f>
        <v>21</v>
      </c>
      <c r="F60" s="21"/>
      <c r="G60" s="20"/>
      <c r="H60" s="9"/>
      <c r="I60" s="9"/>
      <c r="J60" s="21"/>
      <c r="K60" s="21"/>
      <c r="Q60">
        <f>ROUND((Source!BZ33/100)*ROUND((Source!AF33*Source!AV33)*Source!I33, 2), 2)</f>
        <v>2342.59</v>
      </c>
      <c r="R60">
        <f>Source!X33</f>
        <v>2342.59</v>
      </c>
      <c r="S60">
        <f>ROUND((Source!CA33/100)*ROUND((Source!AF33*Source!AV33)*Source!I33, 2), 2)</f>
        <v>334.66</v>
      </c>
      <c r="T60">
        <f>Source!Y33</f>
        <v>334.66</v>
      </c>
      <c r="U60">
        <f>ROUND((175/100)*ROUND((Source!AE33*Source!AV33)*Source!I33, 2), 2)</f>
        <v>0</v>
      </c>
      <c r="V60">
        <f>ROUND((108/100)*ROUND(Source!CS33*Source!I33, 2), 2)</f>
        <v>0</v>
      </c>
    </row>
    <row r="61" spans="1:22" ht="14.25" x14ac:dyDescent="0.2">
      <c r="A61" s="18"/>
      <c r="B61" s="18"/>
      <c r="C61" s="18" t="s">
        <v>641</v>
      </c>
      <c r="D61" s="19"/>
      <c r="E61" s="9"/>
      <c r="F61" s="21">
        <f>Source!AO33</f>
        <v>159.36000000000001</v>
      </c>
      <c r="G61" s="20" t="str">
        <f>Source!DG33</f>
        <v/>
      </c>
      <c r="H61" s="9">
        <f>Source!AV33</f>
        <v>1</v>
      </c>
      <c r="I61" s="9">
        <f>IF(Source!BA33&lt;&gt; 0, Source!BA33, 1)</f>
        <v>1</v>
      </c>
      <c r="J61" s="21">
        <f>Source!S33</f>
        <v>3346.56</v>
      </c>
      <c r="K61" s="21"/>
    </row>
    <row r="62" spans="1:22" ht="14.25" x14ac:dyDescent="0.2">
      <c r="A62" s="18"/>
      <c r="B62" s="18"/>
      <c r="C62" s="18" t="s">
        <v>649</v>
      </c>
      <c r="D62" s="19"/>
      <c r="E62" s="9"/>
      <c r="F62" s="21">
        <f>Source!AL33</f>
        <v>0.12</v>
      </c>
      <c r="G62" s="20" t="str">
        <f>Source!DD33</f>
        <v/>
      </c>
      <c r="H62" s="9">
        <f>Source!AW33</f>
        <v>1</v>
      </c>
      <c r="I62" s="9">
        <f>IF(Source!BC33&lt;&gt; 0, Source!BC33, 1)</f>
        <v>1</v>
      </c>
      <c r="J62" s="21">
        <f>Source!P33</f>
        <v>2.52</v>
      </c>
      <c r="K62" s="21"/>
    </row>
    <row r="63" spans="1:22" ht="14.25" x14ac:dyDescent="0.2">
      <c r="A63" s="18"/>
      <c r="B63" s="18"/>
      <c r="C63" s="18" t="s">
        <v>642</v>
      </c>
      <c r="D63" s="19" t="s">
        <v>643</v>
      </c>
      <c r="E63" s="9">
        <f>Source!AT33</f>
        <v>70</v>
      </c>
      <c r="F63" s="21"/>
      <c r="G63" s="20"/>
      <c r="H63" s="9"/>
      <c r="I63" s="9"/>
      <c r="J63" s="21">
        <f>SUM(R60:R62)</f>
        <v>2342.59</v>
      </c>
      <c r="K63" s="21"/>
    </row>
    <row r="64" spans="1:22" ht="14.25" x14ac:dyDescent="0.2">
      <c r="A64" s="18"/>
      <c r="B64" s="18"/>
      <c r="C64" s="18" t="s">
        <v>644</v>
      </c>
      <c r="D64" s="19" t="s">
        <v>643</v>
      </c>
      <c r="E64" s="9">
        <f>Source!AU33</f>
        <v>10</v>
      </c>
      <c r="F64" s="21"/>
      <c r="G64" s="20"/>
      <c r="H64" s="9"/>
      <c r="I64" s="9"/>
      <c r="J64" s="21">
        <f>SUM(T60:T63)</f>
        <v>334.66</v>
      </c>
      <c r="K64" s="21"/>
    </row>
    <row r="65" spans="1:22" ht="14.25" x14ac:dyDescent="0.2">
      <c r="A65" s="18"/>
      <c r="B65" s="18"/>
      <c r="C65" s="18" t="s">
        <v>645</v>
      </c>
      <c r="D65" s="19" t="s">
        <v>646</v>
      </c>
      <c r="E65" s="9">
        <f>Source!AQ33</f>
        <v>0.33</v>
      </c>
      <c r="F65" s="21"/>
      <c r="G65" s="20" t="str">
        <f>Source!DI33</f>
        <v/>
      </c>
      <c r="H65" s="9">
        <f>Source!AV33</f>
        <v>1</v>
      </c>
      <c r="I65" s="9"/>
      <c r="J65" s="21"/>
      <c r="K65" s="21">
        <f>Source!U33</f>
        <v>6.9300000000000006</v>
      </c>
    </row>
    <row r="66" spans="1:22" ht="15" x14ac:dyDescent="0.25">
      <c r="A66" s="24"/>
      <c r="B66" s="24"/>
      <c r="C66" s="24"/>
      <c r="D66" s="24"/>
      <c r="E66" s="24"/>
      <c r="F66" s="24"/>
      <c r="G66" s="24"/>
      <c r="H66" s="24"/>
      <c r="I66" s="38">
        <f>J61+J62+J63+J64</f>
        <v>6026.33</v>
      </c>
      <c r="J66" s="38"/>
      <c r="K66" s="25">
        <f>IF(Source!I33&lt;&gt;0, ROUND(I66/Source!I33, 2), 0)</f>
        <v>286.97000000000003</v>
      </c>
      <c r="P66" s="23">
        <f>I66</f>
        <v>6026.33</v>
      </c>
    </row>
    <row r="67" spans="1:22" ht="42.75" x14ac:dyDescent="0.2">
      <c r="A67" s="18">
        <v>5</v>
      </c>
      <c r="B67" s="18" t="str">
        <f>Source!F34</f>
        <v>1.21-2301-29-1/1</v>
      </c>
      <c r="C67" s="18" t="str">
        <f>Source!G34</f>
        <v>Осмотр конвектора электрического настенного крепления, с механическим термостатом, мощность до 2,0 кВт</v>
      </c>
      <c r="D67" s="19" t="str">
        <f>Source!H34</f>
        <v>10 шт.</v>
      </c>
      <c r="E67" s="9">
        <f>Source!I34</f>
        <v>0.9</v>
      </c>
      <c r="F67" s="21"/>
      <c r="G67" s="20"/>
      <c r="H67" s="9"/>
      <c r="I67" s="9"/>
      <c r="J67" s="21"/>
      <c r="K67" s="21"/>
      <c r="Q67">
        <f>ROUND((Source!BZ34/100)*ROUND((Source!AF34*Source!AV34)*Source!I34, 2), 2)</f>
        <v>449.85</v>
      </c>
      <c r="R67">
        <f>Source!X34</f>
        <v>449.85</v>
      </c>
      <c r="S67">
        <f>ROUND((Source!CA34/100)*ROUND((Source!AF34*Source!AV34)*Source!I34, 2), 2)</f>
        <v>64.260000000000005</v>
      </c>
      <c r="T67">
        <f>Source!Y34</f>
        <v>64.260000000000005</v>
      </c>
      <c r="U67">
        <f>ROUND((175/100)*ROUND((Source!AE34*Source!AV34)*Source!I34, 2), 2)</f>
        <v>0</v>
      </c>
      <c r="V67">
        <f>ROUND((108/100)*ROUND(Source!CS34*Source!I34, 2), 2)</f>
        <v>0</v>
      </c>
    </row>
    <row r="68" spans="1:22" x14ac:dyDescent="0.2">
      <c r="C68" s="22" t="str">
        <f>"Объем: "&amp;Source!I34&amp;"=9/"&amp;"10"</f>
        <v>Объем: 0,9=9/10</v>
      </c>
    </row>
    <row r="69" spans="1:22" ht="14.25" x14ac:dyDescent="0.2">
      <c r="A69" s="18"/>
      <c r="B69" s="18"/>
      <c r="C69" s="18" t="s">
        <v>641</v>
      </c>
      <c r="D69" s="19"/>
      <c r="E69" s="9"/>
      <c r="F69" s="21">
        <f>Source!AO34</f>
        <v>178.51</v>
      </c>
      <c r="G69" s="20" t="str">
        <f>Source!DG34</f>
        <v>)*4</v>
      </c>
      <c r="H69" s="9">
        <f>Source!AV34</f>
        <v>1</v>
      </c>
      <c r="I69" s="9">
        <f>IF(Source!BA34&lt;&gt; 0, Source!BA34, 1)</f>
        <v>1</v>
      </c>
      <c r="J69" s="21">
        <f>Source!S34</f>
        <v>642.64</v>
      </c>
      <c r="K69" s="21"/>
    </row>
    <row r="70" spans="1:22" ht="14.25" x14ac:dyDescent="0.2">
      <c r="A70" s="18"/>
      <c r="B70" s="18"/>
      <c r="C70" s="18" t="s">
        <v>642</v>
      </c>
      <c r="D70" s="19" t="s">
        <v>643</v>
      </c>
      <c r="E70" s="9">
        <f>Source!AT34</f>
        <v>70</v>
      </c>
      <c r="F70" s="21"/>
      <c r="G70" s="20"/>
      <c r="H70" s="9"/>
      <c r="I70" s="9"/>
      <c r="J70" s="21">
        <f>SUM(R67:R69)</f>
        <v>449.85</v>
      </c>
      <c r="K70" s="21"/>
    </row>
    <row r="71" spans="1:22" ht="14.25" x14ac:dyDescent="0.2">
      <c r="A71" s="18"/>
      <c r="B71" s="18"/>
      <c r="C71" s="18" t="s">
        <v>644</v>
      </c>
      <c r="D71" s="19" t="s">
        <v>643</v>
      </c>
      <c r="E71" s="9">
        <f>Source!AU34</f>
        <v>10</v>
      </c>
      <c r="F71" s="21"/>
      <c r="G71" s="20"/>
      <c r="H71" s="9"/>
      <c r="I71" s="9"/>
      <c r="J71" s="21">
        <f>SUM(T67:T70)</f>
        <v>64.260000000000005</v>
      </c>
      <c r="K71" s="21"/>
    </row>
    <row r="72" spans="1:22" ht="14.25" x14ac:dyDescent="0.2">
      <c r="A72" s="18"/>
      <c r="B72" s="18"/>
      <c r="C72" s="18" t="s">
        <v>645</v>
      </c>
      <c r="D72" s="19" t="s">
        <v>646</v>
      </c>
      <c r="E72" s="9">
        <f>Source!AQ34</f>
        <v>0.41</v>
      </c>
      <c r="F72" s="21"/>
      <c r="G72" s="20" t="str">
        <f>Source!DI34</f>
        <v>)*4</v>
      </c>
      <c r="H72" s="9">
        <f>Source!AV34</f>
        <v>1</v>
      </c>
      <c r="I72" s="9"/>
      <c r="J72" s="21"/>
      <c r="K72" s="21">
        <f>Source!U34</f>
        <v>1.476</v>
      </c>
    </row>
    <row r="73" spans="1:22" ht="15" x14ac:dyDescent="0.25">
      <c r="A73" s="24"/>
      <c r="B73" s="24"/>
      <c r="C73" s="24"/>
      <c r="D73" s="24"/>
      <c r="E73" s="24"/>
      <c r="F73" s="24"/>
      <c r="G73" s="24"/>
      <c r="H73" s="24"/>
      <c r="I73" s="38">
        <f>J69+J70+J71</f>
        <v>1156.75</v>
      </c>
      <c r="J73" s="38"/>
      <c r="K73" s="25">
        <f>IF(Source!I34&lt;&gt;0, ROUND(I73/Source!I34, 2), 0)</f>
        <v>1285.28</v>
      </c>
      <c r="P73" s="23">
        <f>I73</f>
        <v>1156.75</v>
      </c>
    </row>
    <row r="74" spans="1:22" ht="57" x14ac:dyDescent="0.2">
      <c r="A74" s="18">
        <v>6</v>
      </c>
      <c r="B74" s="18" t="str">
        <f>Source!F35</f>
        <v>1.21-2303-50-1/1</v>
      </c>
      <c r="C74" s="18" t="str">
        <f>Source!G35</f>
        <v>Техническое обслуживание  конвектора электрического настенного крепления, с механическим термостатом, мощность до 2,0 кВт</v>
      </c>
      <c r="D74" s="19" t="str">
        <f>Source!H35</f>
        <v>шт.</v>
      </c>
      <c r="E74" s="9">
        <f>Source!I35</f>
        <v>9</v>
      </c>
      <c r="F74" s="21"/>
      <c r="G74" s="20"/>
      <c r="H74" s="9"/>
      <c r="I74" s="9"/>
      <c r="J74" s="21"/>
      <c r="K74" s="21"/>
      <c r="Q74">
        <f>ROUND((Source!BZ35/100)*ROUND((Source!AF35*Source!AV35)*Source!I35, 2), 2)</f>
        <v>935.68</v>
      </c>
      <c r="R74">
        <f>Source!X35</f>
        <v>935.68</v>
      </c>
      <c r="S74">
        <f>ROUND((Source!CA35/100)*ROUND((Source!AF35*Source!AV35)*Source!I35, 2), 2)</f>
        <v>133.66999999999999</v>
      </c>
      <c r="T74">
        <f>Source!Y35</f>
        <v>133.66999999999999</v>
      </c>
      <c r="U74">
        <f>ROUND((175/100)*ROUND((Source!AE35*Source!AV35)*Source!I35, 2), 2)</f>
        <v>0</v>
      </c>
      <c r="V74">
        <f>ROUND((108/100)*ROUND(Source!CS35*Source!I35, 2), 2)</f>
        <v>0</v>
      </c>
    </row>
    <row r="75" spans="1:22" ht="14.25" x14ac:dyDescent="0.2">
      <c r="A75" s="18"/>
      <c r="B75" s="18"/>
      <c r="C75" s="18" t="s">
        <v>641</v>
      </c>
      <c r="D75" s="19"/>
      <c r="E75" s="9"/>
      <c r="F75" s="21">
        <f>Source!AO35</f>
        <v>74.260000000000005</v>
      </c>
      <c r="G75" s="20" t="str">
        <f>Source!DG35</f>
        <v>)*2</v>
      </c>
      <c r="H75" s="9">
        <f>Source!AV35</f>
        <v>1</v>
      </c>
      <c r="I75" s="9">
        <f>IF(Source!BA35&lt;&gt; 0, Source!BA35, 1)</f>
        <v>1</v>
      </c>
      <c r="J75" s="21">
        <f>Source!S35</f>
        <v>1336.68</v>
      </c>
      <c r="K75" s="21"/>
    </row>
    <row r="76" spans="1:22" ht="14.25" x14ac:dyDescent="0.2">
      <c r="A76" s="18"/>
      <c r="B76" s="18"/>
      <c r="C76" s="18" t="s">
        <v>647</v>
      </c>
      <c r="D76" s="19"/>
      <c r="E76" s="9"/>
      <c r="F76" s="21">
        <f>Source!AM35</f>
        <v>0.21</v>
      </c>
      <c r="G76" s="20" t="str">
        <f>Source!DE35</f>
        <v>)*2</v>
      </c>
      <c r="H76" s="9">
        <f>Source!AV35</f>
        <v>1</v>
      </c>
      <c r="I76" s="9">
        <f>IF(Source!BB35&lt;&gt; 0, Source!BB35, 1)</f>
        <v>1</v>
      </c>
      <c r="J76" s="21">
        <f>Source!Q35</f>
        <v>3.78</v>
      </c>
      <c r="K76" s="21"/>
    </row>
    <row r="77" spans="1:22" ht="14.25" x14ac:dyDescent="0.2">
      <c r="A77" s="18"/>
      <c r="B77" s="18"/>
      <c r="C77" s="18" t="s">
        <v>649</v>
      </c>
      <c r="D77" s="19"/>
      <c r="E77" s="9"/>
      <c r="F77" s="21">
        <f>Source!AL35</f>
        <v>1.83</v>
      </c>
      <c r="G77" s="20" t="str">
        <f>Source!DD35</f>
        <v>)*2</v>
      </c>
      <c r="H77" s="9">
        <f>Source!AW35</f>
        <v>1</v>
      </c>
      <c r="I77" s="9">
        <f>IF(Source!BC35&lt;&gt; 0, Source!BC35, 1)</f>
        <v>1</v>
      </c>
      <c r="J77" s="21">
        <f>Source!P35</f>
        <v>32.94</v>
      </c>
      <c r="K77" s="21"/>
    </row>
    <row r="78" spans="1:22" ht="14.25" x14ac:dyDescent="0.2">
      <c r="A78" s="18"/>
      <c r="B78" s="18"/>
      <c r="C78" s="18" t="s">
        <v>642</v>
      </c>
      <c r="D78" s="19" t="s">
        <v>643</v>
      </c>
      <c r="E78" s="9">
        <f>Source!AT35</f>
        <v>70</v>
      </c>
      <c r="F78" s="21"/>
      <c r="G78" s="20"/>
      <c r="H78" s="9"/>
      <c r="I78" s="9"/>
      <c r="J78" s="21">
        <f>SUM(R74:R77)</f>
        <v>935.68</v>
      </c>
      <c r="K78" s="21"/>
    </row>
    <row r="79" spans="1:22" ht="14.25" x14ac:dyDescent="0.2">
      <c r="A79" s="18"/>
      <c r="B79" s="18"/>
      <c r="C79" s="18" t="s">
        <v>644</v>
      </c>
      <c r="D79" s="19" t="s">
        <v>643</v>
      </c>
      <c r="E79" s="9">
        <f>Source!AU35</f>
        <v>10</v>
      </c>
      <c r="F79" s="21"/>
      <c r="G79" s="20"/>
      <c r="H79" s="9"/>
      <c r="I79" s="9"/>
      <c r="J79" s="21">
        <f>SUM(T74:T78)</f>
        <v>133.66999999999999</v>
      </c>
      <c r="K79" s="21"/>
    </row>
    <row r="80" spans="1:22" ht="14.25" x14ac:dyDescent="0.2">
      <c r="A80" s="18"/>
      <c r="B80" s="18"/>
      <c r="C80" s="18" t="s">
        <v>645</v>
      </c>
      <c r="D80" s="19" t="s">
        <v>646</v>
      </c>
      <c r="E80" s="9">
        <f>Source!AQ35</f>
        <v>0.14000000000000001</v>
      </c>
      <c r="F80" s="21"/>
      <c r="G80" s="20" t="str">
        <f>Source!DI35</f>
        <v>)*2</v>
      </c>
      <c r="H80" s="9">
        <f>Source!AV35</f>
        <v>1</v>
      </c>
      <c r="I80" s="9"/>
      <c r="J80" s="21"/>
      <c r="K80" s="21">
        <f>Source!U35</f>
        <v>2.5200000000000005</v>
      </c>
    </row>
    <row r="81" spans="1:22" ht="15" x14ac:dyDescent="0.25">
      <c r="A81" s="24"/>
      <c r="B81" s="24"/>
      <c r="C81" s="24"/>
      <c r="D81" s="24"/>
      <c r="E81" s="24"/>
      <c r="F81" s="24"/>
      <c r="G81" s="24"/>
      <c r="H81" s="24"/>
      <c r="I81" s="38">
        <f>J75+J76+J77+J78+J79</f>
        <v>2442.75</v>
      </c>
      <c r="J81" s="38"/>
      <c r="K81" s="25">
        <f>IF(Source!I35&lt;&gt;0, ROUND(I81/Source!I35, 2), 0)</f>
        <v>271.42</v>
      </c>
      <c r="P81" s="23">
        <f>I81</f>
        <v>2442.75</v>
      </c>
    </row>
    <row r="82" spans="1:22" ht="28.5" x14ac:dyDescent="0.2">
      <c r="A82" s="18">
        <v>7</v>
      </c>
      <c r="B82" s="18" t="str">
        <f>Source!F36</f>
        <v>1.23-2103-41-1/1</v>
      </c>
      <c r="C82" s="18" t="str">
        <f>Source!G36</f>
        <v>Техническое обслуживание регулирующего клапана</v>
      </c>
      <c r="D82" s="19" t="str">
        <f>Source!H36</f>
        <v>шт.</v>
      </c>
      <c r="E82" s="9">
        <f>Source!I36</f>
        <v>111</v>
      </c>
      <c r="F82" s="21"/>
      <c r="G82" s="20"/>
      <c r="H82" s="9"/>
      <c r="I82" s="9"/>
      <c r="J82" s="21"/>
      <c r="K82" s="21"/>
      <c r="Q82">
        <f>ROUND((Source!BZ36/100)*ROUND((Source!AF36*Source!AV36)*Source!I36, 2), 2)</f>
        <v>27766.87</v>
      </c>
      <c r="R82">
        <f>Source!X36</f>
        <v>27766.87</v>
      </c>
      <c r="S82">
        <f>ROUND((Source!CA36/100)*ROUND((Source!AF36*Source!AV36)*Source!I36, 2), 2)</f>
        <v>3966.7</v>
      </c>
      <c r="T82">
        <f>Source!Y36</f>
        <v>3966.7</v>
      </c>
      <c r="U82">
        <f>ROUND((175/100)*ROUND((Source!AE36*Source!AV36)*Source!I36, 2), 2)</f>
        <v>18846.14</v>
      </c>
      <c r="V82">
        <f>ROUND((108/100)*ROUND(Source!CS36*Source!I36, 2), 2)</f>
        <v>11630.76</v>
      </c>
    </row>
    <row r="83" spans="1:22" ht="14.25" x14ac:dyDescent="0.2">
      <c r="A83" s="18"/>
      <c r="B83" s="18"/>
      <c r="C83" s="18" t="s">
        <v>641</v>
      </c>
      <c r="D83" s="19"/>
      <c r="E83" s="9"/>
      <c r="F83" s="21">
        <f>Source!AO36</f>
        <v>178.68</v>
      </c>
      <c r="G83" s="20" t="str">
        <f>Source!DG36</f>
        <v>)*2</v>
      </c>
      <c r="H83" s="9">
        <f>Source!AV36</f>
        <v>1</v>
      </c>
      <c r="I83" s="9">
        <f>IF(Source!BA36&lt;&gt; 0, Source!BA36, 1)</f>
        <v>1</v>
      </c>
      <c r="J83" s="21">
        <f>Source!S36</f>
        <v>39666.959999999999</v>
      </c>
      <c r="K83" s="21"/>
    </row>
    <row r="84" spans="1:22" ht="14.25" x14ac:dyDescent="0.2">
      <c r="A84" s="18"/>
      <c r="B84" s="18"/>
      <c r="C84" s="18" t="s">
        <v>647</v>
      </c>
      <c r="D84" s="19"/>
      <c r="E84" s="9"/>
      <c r="F84" s="21">
        <f>Source!AM36</f>
        <v>89.43</v>
      </c>
      <c r="G84" s="20" t="str">
        <f>Source!DE36</f>
        <v>)*2</v>
      </c>
      <c r="H84" s="9">
        <f>Source!AV36</f>
        <v>1</v>
      </c>
      <c r="I84" s="9">
        <f>IF(Source!BB36&lt;&gt; 0, Source!BB36, 1)</f>
        <v>1</v>
      </c>
      <c r="J84" s="21">
        <f>Source!Q36</f>
        <v>19853.46</v>
      </c>
      <c r="K84" s="21"/>
    </row>
    <row r="85" spans="1:22" ht="14.25" x14ac:dyDescent="0.2">
      <c r="A85" s="18"/>
      <c r="B85" s="18"/>
      <c r="C85" s="18" t="s">
        <v>648</v>
      </c>
      <c r="D85" s="19"/>
      <c r="E85" s="9"/>
      <c r="F85" s="21">
        <f>Source!AN36</f>
        <v>48.51</v>
      </c>
      <c r="G85" s="20" t="str">
        <f>Source!DF36</f>
        <v>)*2</v>
      </c>
      <c r="H85" s="9">
        <f>Source!AV36</f>
        <v>1</v>
      </c>
      <c r="I85" s="9">
        <f>IF(Source!BS36&lt;&gt; 0, Source!BS36, 1)</f>
        <v>1</v>
      </c>
      <c r="J85" s="26">
        <f>Source!R36</f>
        <v>10769.22</v>
      </c>
      <c r="K85" s="21"/>
    </row>
    <row r="86" spans="1:22" ht="14.25" x14ac:dyDescent="0.2">
      <c r="A86" s="18"/>
      <c r="B86" s="18"/>
      <c r="C86" s="18" t="s">
        <v>642</v>
      </c>
      <c r="D86" s="19" t="s">
        <v>643</v>
      </c>
      <c r="E86" s="9">
        <f>Source!AT36</f>
        <v>70</v>
      </c>
      <c r="F86" s="21"/>
      <c r="G86" s="20"/>
      <c r="H86" s="9"/>
      <c r="I86" s="9"/>
      <c r="J86" s="21">
        <f>SUM(R82:R85)</f>
        <v>27766.87</v>
      </c>
      <c r="K86" s="21"/>
    </row>
    <row r="87" spans="1:22" ht="14.25" x14ac:dyDescent="0.2">
      <c r="A87" s="18"/>
      <c r="B87" s="18"/>
      <c r="C87" s="18" t="s">
        <v>644</v>
      </c>
      <c r="D87" s="19" t="s">
        <v>643</v>
      </c>
      <c r="E87" s="9">
        <f>Source!AU36</f>
        <v>10</v>
      </c>
      <c r="F87" s="21"/>
      <c r="G87" s="20"/>
      <c r="H87" s="9"/>
      <c r="I87" s="9"/>
      <c r="J87" s="21">
        <f>SUM(T82:T86)</f>
        <v>3966.7</v>
      </c>
      <c r="K87" s="21"/>
    </row>
    <row r="88" spans="1:22" ht="14.25" x14ac:dyDescent="0.2">
      <c r="A88" s="18"/>
      <c r="B88" s="18"/>
      <c r="C88" s="18" t="s">
        <v>650</v>
      </c>
      <c r="D88" s="19" t="s">
        <v>643</v>
      </c>
      <c r="E88" s="9">
        <f>108</f>
        <v>108</v>
      </c>
      <c r="F88" s="21"/>
      <c r="G88" s="20"/>
      <c r="H88" s="9"/>
      <c r="I88" s="9"/>
      <c r="J88" s="21">
        <f>SUM(V82:V87)</f>
        <v>11630.76</v>
      </c>
      <c r="K88" s="21"/>
    </row>
    <row r="89" spans="1:22" ht="14.25" x14ac:dyDescent="0.2">
      <c r="A89" s="18"/>
      <c r="B89" s="18"/>
      <c r="C89" s="18" t="s">
        <v>645</v>
      </c>
      <c r="D89" s="19" t="s">
        <v>646</v>
      </c>
      <c r="E89" s="9">
        <f>Source!AQ36</f>
        <v>0.37</v>
      </c>
      <c r="F89" s="21"/>
      <c r="G89" s="20" t="str">
        <f>Source!DI36</f>
        <v>)*2</v>
      </c>
      <c r="H89" s="9">
        <f>Source!AV36</f>
        <v>1</v>
      </c>
      <c r="I89" s="9"/>
      <c r="J89" s="21"/>
      <c r="K89" s="21">
        <f>Source!U36</f>
        <v>82.14</v>
      </c>
    </row>
    <row r="90" spans="1:22" ht="15" x14ac:dyDescent="0.25">
      <c r="A90" s="24"/>
      <c r="B90" s="24"/>
      <c r="C90" s="24"/>
      <c r="D90" s="24"/>
      <c r="E90" s="24"/>
      <c r="F90" s="24"/>
      <c r="G90" s="24"/>
      <c r="H90" s="24"/>
      <c r="I90" s="38">
        <f>J83+J84+J86+J87+J88</f>
        <v>102884.74999999999</v>
      </c>
      <c r="J90" s="38"/>
      <c r="K90" s="25">
        <f>IF(Source!I36&lt;&gt;0, ROUND(I90/Source!I36, 2), 0)</f>
        <v>926.89</v>
      </c>
      <c r="P90" s="23">
        <f>I90</f>
        <v>102884.74999999999</v>
      </c>
    </row>
    <row r="91" spans="1:22" ht="28.5" x14ac:dyDescent="0.2">
      <c r="A91" s="18">
        <v>8</v>
      </c>
      <c r="B91" s="18" t="str">
        <f>Source!F37</f>
        <v>1.15-2303-4-2/1</v>
      </c>
      <c r="C91" s="18" t="str">
        <f>Source!G37</f>
        <v>Прочистка сетчатых фильтров грубой очистки воды диаметром до 50 мм</v>
      </c>
      <c r="D91" s="19" t="str">
        <f>Source!H37</f>
        <v>10 шт.</v>
      </c>
      <c r="E91" s="9">
        <f>Source!I37</f>
        <v>0.8</v>
      </c>
      <c r="F91" s="21"/>
      <c r="G91" s="20"/>
      <c r="H91" s="9"/>
      <c r="I91" s="9"/>
      <c r="J91" s="21"/>
      <c r="K91" s="21"/>
      <c r="Q91">
        <f>ROUND((Source!BZ37/100)*ROUND((Source!AF37*Source!AV37)*Source!I37, 2), 2)</f>
        <v>2768.53</v>
      </c>
      <c r="R91">
        <f>Source!X37</f>
        <v>2768.53</v>
      </c>
      <c r="S91">
        <f>ROUND((Source!CA37/100)*ROUND((Source!AF37*Source!AV37)*Source!I37, 2), 2)</f>
        <v>395.5</v>
      </c>
      <c r="T91">
        <f>Source!Y37</f>
        <v>395.5</v>
      </c>
      <c r="U91">
        <f>ROUND((175/100)*ROUND((Source!AE37*Source!AV37)*Source!I37, 2), 2)</f>
        <v>0</v>
      </c>
      <c r="V91">
        <f>ROUND((108/100)*ROUND(Source!CS37*Source!I37, 2), 2)</f>
        <v>0</v>
      </c>
    </row>
    <row r="92" spans="1:22" x14ac:dyDescent="0.2">
      <c r="C92" s="22" t="str">
        <f>"Объем: "&amp;Source!I37&amp;"=8/"&amp;"10"</f>
        <v>Объем: 0,8=8/10</v>
      </c>
    </row>
    <row r="93" spans="1:22" ht="14.25" x14ac:dyDescent="0.2">
      <c r="A93" s="18"/>
      <c r="B93" s="18"/>
      <c r="C93" s="18" t="s">
        <v>641</v>
      </c>
      <c r="D93" s="19"/>
      <c r="E93" s="9"/>
      <c r="F93" s="21">
        <f>Source!AO37</f>
        <v>1235.95</v>
      </c>
      <c r="G93" s="20" t="str">
        <f>Source!DG37</f>
        <v>)*4</v>
      </c>
      <c r="H93" s="9">
        <f>Source!AV37</f>
        <v>1</v>
      </c>
      <c r="I93" s="9">
        <f>IF(Source!BA37&lt;&gt; 0, Source!BA37, 1)</f>
        <v>1</v>
      </c>
      <c r="J93" s="21">
        <f>Source!S37</f>
        <v>3955.04</v>
      </c>
      <c r="K93" s="21"/>
    </row>
    <row r="94" spans="1:22" ht="14.25" x14ac:dyDescent="0.2">
      <c r="A94" s="18"/>
      <c r="B94" s="18"/>
      <c r="C94" s="18" t="s">
        <v>642</v>
      </c>
      <c r="D94" s="19" t="s">
        <v>643</v>
      </c>
      <c r="E94" s="9">
        <f>Source!AT37</f>
        <v>70</v>
      </c>
      <c r="F94" s="21"/>
      <c r="G94" s="20"/>
      <c r="H94" s="9"/>
      <c r="I94" s="9"/>
      <c r="J94" s="21">
        <f>SUM(R91:R93)</f>
        <v>2768.53</v>
      </c>
      <c r="K94" s="21"/>
    </row>
    <row r="95" spans="1:22" ht="14.25" x14ac:dyDescent="0.2">
      <c r="A95" s="18"/>
      <c r="B95" s="18"/>
      <c r="C95" s="18" t="s">
        <v>644</v>
      </c>
      <c r="D95" s="19" t="s">
        <v>643</v>
      </c>
      <c r="E95" s="9">
        <f>Source!AU37</f>
        <v>10</v>
      </c>
      <c r="F95" s="21"/>
      <c r="G95" s="20"/>
      <c r="H95" s="9"/>
      <c r="I95" s="9"/>
      <c r="J95" s="21">
        <f>SUM(T91:T94)</f>
        <v>395.5</v>
      </c>
      <c r="K95" s="21"/>
    </row>
    <row r="96" spans="1:22" ht="14.25" x14ac:dyDescent="0.2">
      <c r="A96" s="18"/>
      <c r="B96" s="18"/>
      <c r="C96" s="18" t="s">
        <v>645</v>
      </c>
      <c r="D96" s="19" t="s">
        <v>646</v>
      </c>
      <c r="E96" s="9">
        <f>Source!AQ37</f>
        <v>2.33</v>
      </c>
      <c r="F96" s="21"/>
      <c r="G96" s="20" t="str">
        <f>Source!DI37</f>
        <v>)*4</v>
      </c>
      <c r="H96" s="9">
        <f>Source!AV37</f>
        <v>1</v>
      </c>
      <c r="I96" s="9"/>
      <c r="J96" s="21"/>
      <c r="K96" s="21">
        <f>Source!U37</f>
        <v>7.4560000000000004</v>
      </c>
    </row>
    <row r="97" spans="1:22" ht="15" x14ac:dyDescent="0.25">
      <c r="A97" s="24"/>
      <c r="B97" s="24"/>
      <c r="C97" s="24"/>
      <c r="D97" s="24"/>
      <c r="E97" s="24"/>
      <c r="F97" s="24"/>
      <c r="G97" s="24"/>
      <c r="H97" s="24"/>
      <c r="I97" s="38">
        <f>J93+J94+J95</f>
        <v>7119.07</v>
      </c>
      <c r="J97" s="38"/>
      <c r="K97" s="25">
        <f>IF(Source!I37&lt;&gt;0, ROUND(I97/Source!I37, 2), 0)</f>
        <v>8898.84</v>
      </c>
      <c r="P97" s="23">
        <f>I97</f>
        <v>7119.07</v>
      </c>
    </row>
    <row r="98" spans="1:22" ht="42.75" x14ac:dyDescent="0.2">
      <c r="A98" s="18">
        <v>9</v>
      </c>
      <c r="B98" s="18" t="str">
        <f>Source!F38</f>
        <v>1.15-2303-5-1/1</v>
      </c>
      <c r="C98" s="18" t="str">
        <f>Source!G38</f>
        <v>Техническое обслуживание фильтров водяных фланцевых сетчатых диаметром до 65 мм</v>
      </c>
      <c r="D98" s="19" t="str">
        <f>Source!H38</f>
        <v>10 шт.</v>
      </c>
      <c r="E98" s="9">
        <f>Source!I38</f>
        <v>0.8</v>
      </c>
      <c r="F98" s="21"/>
      <c r="G98" s="20"/>
      <c r="H98" s="9"/>
      <c r="I98" s="9"/>
      <c r="J98" s="21"/>
      <c r="K98" s="21"/>
      <c r="Q98">
        <f>ROUND((Source!BZ38/100)*ROUND((Source!AF38*Source!AV38)*Source!I38, 2), 2)</f>
        <v>1947.13</v>
      </c>
      <c r="R98">
        <f>Source!X38</f>
        <v>1947.13</v>
      </c>
      <c r="S98">
        <f>ROUND((Source!CA38/100)*ROUND((Source!AF38*Source!AV38)*Source!I38, 2), 2)</f>
        <v>278.16000000000003</v>
      </c>
      <c r="T98">
        <f>Source!Y38</f>
        <v>278.16000000000003</v>
      </c>
      <c r="U98">
        <f>ROUND((175/100)*ROUND((Source!AE38*Source!AV38)*Source!I38, 2), 2)</f>
        <v>0</v>
      </c>
      <c r="V98">
        <f>ROUND((108/100)*ROUND(Source!CS38*Source!I38, 2), 2)</f>
        <v>0</v>
      </c>
    </row>
    <row r="99" spans="1:22" x14ac:dyDescent="0.2">
      <c r="C99" s="22" t="str">
        <f>"Объем: "&amp;Source!I38&amp;"=8/"&amp;"10"</f>
        <v>Объем: 0,8=8/10</v>
      </c>
    </row>
    <row r="100" spans="1:22" ht="14.25" x14ac:dyDescent="0.2">
      <c r="A100" s="18"/>
      <c r="B100" s="18"/>
      <c r="C100" s="18" t="s">
        <v>641</v>
      </c>
      <c r="D100" s="19"/>
      <c r="E100" s="9"/>
      <c r="F100" s="21">
        <f>Source!AO38</f>
        <v>1738.51</v>
      </c>
      <c r="G100" s="20" t="str">
        <f>Source!DG38</f>
        <v>)*2</v>
      </c>
      <c r="H100" s="9">
        <f>Source!AV38</f>
        <v>1</v>
      </c>
      <c r="I100" s="9">
        <f>IF(Source!BA38&lt;&gt; 0, Source!BA38, 1)</f>
        <v>1</v>
      </c>
      <c r="J100" s="21">
        <f>Source!S38</f>
        <v>2781.62</v>
      </c>
      <c r="K100" s="21"/>
    </row>
    <row r="101" spans="1:22" ht="14.25" x14ac:dyDescent="0.2">
      <c r="A101" s="18"/>
      <c r="B101" s="18"/>
      <c r="C101" s="18" t="s">
        <v>649</v>
      </c>
      <c r="D101" s="19"/>
      <c r="E101" s="9"/>
      <c r="F101" s="21">
        <f>Source!AL38</f>
        <v>0.31</v>
      </c>
      <c r="G101" s="20" t="str">
        <f>Source!DD38</f>
        <v>)*2</v>
      </c>
      <c r="H101" s="9">
        <f>Source!AW38</f>
        <v>1</v>
      </c>
      <c r="I101" s="9">
        <f>IF(Source!BC38&lt;&gt; 0, Source!BC38, 1)</f>
        <v>1</v>
      </c>
      <c r="J101" s="21">
        <f>Source!P38</f>
        <v>0.5</v>
      </c>
      <c r="K101" s="21"/>
    </row>
    <row r="102" spans="1:22" ht="57" x14ac:dyDescent="0.2">
      <c r="A102" s="18" t="s">
        <v>65</v>
      </c>
      <c r="B102" s="18" t="str">
        <f>Source!F39</f>
        <v>21.26-1-110</v>
      </c>
      <c r="C102" s="18" t="str">
        <f>Source!G39</f>
        <v>Прокладки из терморасширенного графита для обслуживания фильтра сетчатого чугунного фланцевого диаметром 65 мм</v>
      </c>
      <c r="D102" s="19" t="str">
        <f>Source!H39</f>
        <v>шт.</v>
      </c>
      <c r="E102" s="9">
        <f>Source!I39</f>
        <v>48</v>
      </c>
      <c r="F102" s="21">
        <f>Source!AK39</f>
        <v>222.36</v>
      </c>
      <c r="G102" s="27" t="s">
        <v>3</v>
      </c>
      <c r="H102" s="9">
        <f>Source!AW39</f>
        <v>1</v>
      </c>
      <c r="I102" s="9">
        <f>IF(Source!BC39&lt;&gt; 0, Source!BC39, 1)</f>
        <v>1</v>
      </c>
      <c r="J102" s="21">
        <f>Source!O39</f>
        <v>10673.28</v>
      </c>
      <c r="K102" s="21"/>
      <c r="Q102">
        <f>ROUND((Source!BZ39/100)*ROUND((Source!AF39*Source!AV39)*Source!I39, 2), 2)</f>
        <v>0</v>
      </c>
      <c r="R102">
        <f>Source!X39</f>
        <v>0</v>
      </c>
      <c r="S102">
        <f>ROUND((Source!CA39/100)*ROUND((Source!AF39*Source!AV39)*Source!I39, 2), 2)</f>
        <v>0</v>
      </c>
      <c r="T102">
        <f>Source!Y39</f>
        <v>0</v>
      </c>
      <c r="U102">
        <f>ROUND((175/100)*ROUND((Source!AE39*Source!AV39)*Source!I39, 2), 2)</f>
        <v>0</v>
      </c>
      <c r="V102">
        <f>ROUND((108/100)*ROUND(Source!CS39*Source!I39, 2), 2)</f>
        <v>0</v>
      </c>
    </row>
    <row r="103" spans="1:22" ht="14.25" x14ac:dyDescent="0.2">
      <c r="A103" s="18"/>
      <c r="B103" s="18"/>
      <c r="C103" s="18" t="s">
        <v>642</v>
      </c>
      <c r="D103" s="19" t="s">
        <v>643</v>
      </c>
      <c r="E103" s="9">
        <f>Source!AT38</f>
        <v>70</v>
      </c>
      <c r="F103" s="21"/>
      <c r="G103" s="20"/>
      <c r="H103" s="9"/>
      <c r="I103" s="9"/>
      <c r="J103" s="21">
        <f>SUM(R98:R102)</f>
        <v>1947.13</v>
      </c>
      <c r="K103" s="21"/>
    </row>
    <row r="104" spans="1:22" ht="14.25" x14ac:dyDescent="0.2">
      <c r="A104" s="18"/>
      <c r="B104" s="18"/>
      <c r="C104" s="18" t="s">
        <v>644</v>
      </c>
      <c r="D104" s="19" t="s">
        <v>643</v>
      </c>
      <c r="E104" s="9">
        <f>Source!AU38</f>
        <v>10</v>
      </c>
      <c r="F104" s="21"/>
      <c r="G104" s="20"/>
      <c r="H104" s="9"/>
      <c r="I104" s="9"/>
      <c r="J104" s="21">
        <f>SUM(T98:T103)</f>
        <v>278.16000000000003</v>
      </c>
      <c r="K104" s="21"/>
    </row>
    <row r="105" spans="1:22" ht="14.25" x14ac:dyDescent="0.2">
      <c r="A105" s="18"/>
      <c r="B105" s="18"/>
      <c r="C105" s="18" t="s">
        <v>645</v>
      </c>
      <c r="D105" s="19" t="s">
        <v>646</v>
      </c>
      <c r="E105" s="9">
        <f>Source!AQ38</f>
        <v>3.6</v>
      </c>
      <c r="F105" s="21"/>
      <c r="G105" s="20" t="str">
        <f>Source!DI38</f>
        <v>)*2</v>
      </c>
      <c r="H105" s="9">
        <f>Source!AV38</f>
        <v>1</v>
      </c>
      <c r="I105" s="9"/>
      <c r="J105" s="21"/>
      <c r="K105" s="21">
        <f>Source!U38</f>
        <v>5.7600000000000007</v>
      </c>
    </row>
    <row r="106" spans="1:22" ht="15" x14ac:dyDescent="0.25">
      <c r="A106" s="24"/>
      <c r="B106" s="24"/>
      <c r="C106" s="24"/>
      <c r="D106" s="24"/>
      <c r="E106" s="24"/>
      <c r="F106" s="24"/>
      <c r="G106" s="24"/>
      <c r="H106" s="24"/>
      <c r="I106" s="38">
        <f>J100+J101+J103+J104+SUM(J102:J102)</f>
        <v>15680.69</v>
      </c>
      <c r="J106" s="38"/>
      <c r="K106" s="25">
        <f>IF(Source!I38&lt;&gt;0, ROUND(I106/Source!I38, 2), 0)</f>
        <v>19600.86</v>
      </c>
      <c r="P106" s="23">
        <f>I106</f>
        <v>15680.69</v>
      </c>
    </row>
    <row r="107" spans="1:22" ht="28.5" x14ac:dyDescent="0.2">
      <c r="A107" s="18">
        <v>10</v>
      </c>
      <c r="B107" s="18" t="str">
        <f>Source!F41</f>
        <v>1.23-2103-41-1/1</v>
      </c>
      <c r="C107" s="18" t="str">
        <f>Source!G41</f>
        <v>Техническое обслуживание регулирующего клапана</v>
      </c>
      <c r="D107" s="19" t="str">
        <f>Source!H41</f>
        <v>шт.</v>
      </c>
      <c r="E107" s="9">
        <f>Source!I41</f>
        <v>6</v>
      </c>
      <c r="F107" s="21"/>
      <c r="G107" s="20"/>
      <c r="H107" s="9"/>
      <c r="I107" s="9"/>
      <c r="J107" s="21"/>
      <c r="K107" s="21"/>
      <c r="Q107">
        <f>ROUND((Source!BZ41/100)*ROUND((Source!AF41*Source!AV41)*Source!I41, 2), 2)</f>
        <v>1500.91</v>
      </c>
      <c r="R107">
        <f>Source!X41</f>
        <v>1500.91</v>
      </c>
      <c r="S107">
        <f>ROUND((Source!CA41/100)*ROUND((Source!AF41*Source!AV41)*Source!I41, 2), 2)</f>
        <v>214.42</v>
      </c>
      <c r="T107">
        <f>Source!Y41</f>
        <v>214.42</v>
      </c>
      <c r="U107">
        <f>ROUND((175/100)*ROUND((Source!AE41*Source!AV41)*Source!I41, 2), 2)</f>
        <v>1018.71</v>
      </c>
      <c r="V107">
        <f>ROUND((108/100)*ROUND(Source!CS41*Source!I41, 2), 2)</f>
        <v>628.69000000000005</v>
      </c>
    </row>
    <row r="108" spans="1:22" ht="14.25" x14ac:dyDescent="0.2">
      <c r="A108" s="18"/>
      <c r="B108" s="18"/>
      <c r="C108" s="18" t="s">
        <v>641</v>
      </c>
      <c r="D108" s="19"/>
      <c r="E108" s="9"/>
      <c r="F108" s="21">
        <f>Source!AO41</f>
        <v>178.68</v>
      </c>
      <c r="G108" s="20" t="str">
        <f>Source!DG41</f>
        <v>)*2</v>
      </c>
      <c r="H108" s="9">
        <f>Source!AV41</f>
        <v>1</v>
      </c>
      <c r="I108" s="9">
        <f>IF(Source!BA41&lt;&gt; 0, Source!BA41, 1)</f>
        <v>1</v>
      </c>
      <c r="J108" s="21">
        <f>Source!S41</f>
        <v>2144.16</v>
      </c>
      <c r="K108" s="21"/>
    </row>
    <row r="109" spans="1:22" ht="14.25" x14ac:dyDescent="0.2">
      <c r="A109" s="18"/>
      <c r="B109" s="18"/>
      <c r="C109" s="18" t="s">
        <v>647</v>
      </c>
      <c r="D109" s="19"/>
      <c r="E109" s="9"/>
      <c r="F109" s="21">
        <f>Source!AM41</f>
        <v>89.43</v>
      </c>
      <c r="G109" s="20" t="str">
        <f>Source!DE41</f>
        <v>)*2</v>
      </c>
      <c r="H109" s="9">
        <f>Source!AV41</f>
        <v>1</v>
      </c>
      <c r="I109" s="9">
        <f>IF(Source!BB41&lt;&gt; 0, Source!BB41, 1)</f>
        <v>1</v>
      </c>
      <c r="J109" s="21">
        <f>Source!Q41</f>
        <v>1073.1600000000001</v>
      </c>
      <c r="K109" s="21"/>
    </row>
    <row r="110" spans="1:22" ht="14.25" x14ac:dyDescent="0.2">
      <c r="A110" s="18"/>
      <c r="B110" s="18"/>
      <c r="C110" s="18" t="s">
        <v>648</v>
      </c>
      <c r="D110" s="19"/>
      <c r="E110" s="9"/>
      <c r="F110" s="21">
        <f>Source!AN41</f>
        <v>48.51</v>
      </c>
      <c r="G110" s="20" t="str">
        <f>Source!DF41</f>
        <v>)*2</v>
      </c>
      <c r="H110" s="9">
        <f>Source!AV41</f>
        <v>1</v>
      </c>
      <c r="I110" s="9">
        <f>IF(Source!BS41&lt;&gt; 0, Source!BS41, 1)</f>
        <v>1</v>
      </c>
      <c r="J110" s="26">
        <f>Source!R41</f>
        <v>582.12</v>
      </c>
      <c r="K110" s="21"/>
    </row>
    <row r="111" spans="1:22" ht="14.25" x14ac:dyDescent="0.2">
      <c r="A111" s="18"/>
      <c r="B111" s="18"/>
      <c r="C111" s="18" t="s">
        <v>642</v>
      </c>
      <c r="D111" s="19" t="s">
        <v>643</v>
      </c>
      <c r="E111" s="9">
        <f>Source!AT41</f>
        <v>70</v>
      </c>
      <c r="F111" s="21"/>
      <c r="G111" s="20"/>
      <c r="H111" s="9"/>
      <c r="I111" s="9"/>
      <c r="J111" s="21">
        <f>SUM(R107:R110)</f>
        <v>1500.91</v>
      </c>
      <c r="K111" s="21"/>
    </row>
    <row r="112" spans="1:22" ht="14.25" x14ac:dyDescent="0.2">
      <c r="A112" s="18"/>
      <c r="B112" s="18"/>
      <c r="C112" s="18" t="s">
        <v>644</v>
      </c>
      <c r="D112" s="19" t="s">
        <v>643</v>
      </c>
      <c r="E112" s="9">
        <f>Source!AU41</f>
        <v>10</v>
      </c>
      <c r="F112" s="21"/>
      <c r="G112" s="20"/>
      <c r="H112" s="9"/>
      <c r="I112" s="9"/>
      <c r="J112" s="21">
        <f>SUM(T107:T111)</f>
        <v>214.42</v>
      </c>
      <c r="K112" s="21"/>
    </row>
    <row r="113" spans="1:22" ht="14.25" x14ac:dyDescent="0.2">
      <c r="A113" s="18"/>
      <c r="B113" s="18"/>
      <c r="C113" s="18" t="s">
        <v>650</v>
      </c>
      <c r="D113" s="19" t="s">
        <v>643</v>
      </c>
      <c r="E113" s="9">
        <f>108</f>
        <v>108</v>
      </c>
      <c r="F113" s="21"/>
      <c r="G113" s="20"/>
      <c r="H113" s="9"/>
      <c r="I113" s="9"/>
      <c r="J113" s="21">
        <f>SUM(V107:V112)</f>
        <v>628.69000000000005</v>
      </c>
      <c r="K113" s="21"/>
    </row>
    <row r="114" spans="1:22" ht="14.25" x14ac:dyDescent="0.2">
      <c r="A114" s="18"/>
      <c r="B114" s="18"/>
      <c r="C114" s="18" t="s">
        <v>645</v>
      </c>
      <c r="D114" s="19" t="s">
        <v>646</v>
      </c>
      <c r="E114" s="9">
        <f>Source!AQ41</f>
        <v>0.37</v>
      </c>
      <c r="F114" s="21"/>
      <c r="G114" s="20" t="str">
        <f>Source!DI41</f>
        <v>)*2</v>
      </c>
      <c r="H114" s="9">
        <f>Source!AV41</f>
        <v>1</v>
      </c>
      <c r="I114" s="9"/>
      <c r="J114" s="21"/>
      <c r="K114" s="21">
        <f>Source!U41</f>
        <v>4.4399999999999995</v>
      </c>
    </row>
    <row r="115" spans="1:22" ht="15" x14ac:dyDescent="0.25">
      <c r="A115" s="24"/>
      <c r="B115" s="24"/>
      <c r="C115" s="24"/>
      <c r="D115" s="24"/>
      <c r="E115" s="24"/>
      <c r="F115" s="24"/>
      <c r="G115" s="24"/>
      <c r="H115" s="24"/>
      <c r="I115" s="38">
        <f>J108+J109+J111+J112+J113</f>
        <v>5561.34</v>
      </c>
      <c r="J115" s="38"/>
      <c r="K115" s="25">
        <f>IF(Source!I41&lt;&gt;0, ROUND(I115/Source!I41, 2), 0)</f>
        <v>926.89</v>
      </c>
      <c r="P115" s="23">
        <f>I115</f>
        <v>5561.34</v>
      </c>
    </row>
    <row r="117" spans="1:22" ht="15" x14ac:dyDescent="0.25">
      <c r="A117" s="36" t="str">
        <f>CONCATENATE("Итого по разделу: ",IF(Source!G43&lt;&gt;"Новый раздел", Source!G43, ""))</f>
        <v>Итого по разделу: Система отопления</v>
      </c>
      <c r="B117" s="36"/>
      <c r="C117" s="36"/>
      <c r="D117" s="36"/>
      <c r="E117" s="36"/>
      <c r="F117" s="36"/>
      <c r="G117" s="36"/>
      <c r="H117" s="36"/>
      <c r="I117" s="34">
        <f>SUM(P34:P116)</f>
        <v>165323.04999999999</v>
      </c>
      <c r="J117" s="35"/>
      <c r="K117" s="28"/>
    </row>
    <row r="120" spans="1:22" ht="16.5" x14ac:dyDescent="0.25">
      <c r="A120" s="37" t="str">
        <f>CONCATENATE("Раздел: ",IF(Source!G73&lt;&gt;"Новый раздел", Source!G73, ""))</f>
        <v>Раздел: Система водоснабжения</v>
      </c>
      <c r="B120" s="37"/>
      <c r="C120" s="37"/>
      <c r="D120" s="37"/>
      <c r="E120" s="37"/>
      <c r="F120" s="37"/>
      <c r="G120" s="37"/>
      <c r="H120" s="37"/>
      <c r="I120" s="37"/>
      <c r="J120" s="37"/>
      <c r="K120" s="37"/>
    </row>
    <row r="121" spans="1:22" ht="42.75" x14ac:dyDescent="0.2">
      <c r="A121" s="18">
        <v>11</v>
      </c>
      <c r="B121" s="18" t="str">
        <f>Source!F77</f>
        <v>1.15-2101-1-1/1</v>
      </c>
      <c r="C121" s="18" t="str">
        <f>Source!G77</f>
        <v>Осмотр магистральных неизолированных внутренних трубопроводов диаметром до 100 мм</v>
      </c>
      <c r="D121" s="19" t="str">
        <f>Source!H77</f>
        <v>100 м</v>
      </c>
      <c r="E121" s="9">
        <f>Source!I77</f>
        <v>0.25224999999999997</v>
      </c>
      <c r="F121" s="21"/>
      <c r="G121" s="20"/>
      <c r="H121" s="9"/>
      <c r="I121" s="9"/>
      <c r="J121" s="21"/>
      <c r="K121" s="21"/>
      <c r="Q121">
        <f>ROUND((Source!BZ77/100)*ROUND((Source!AF77*Source!AV77)*Source!I77, 2), 2)</f>
        <v>306.98</v>
      </c>
      <c r="R121">
        <f>Source!X77</f>
        <v>306.98</v>
      </c>
      <c r="S121">
        <f>ROUND((Source!CA77/100)*ROUND((Source!AF77*Source!AV77)*Source!I77, 2), 2)</f>
        <v>43.85</v>
      </c>
      <c r="T121">
        <f>Source!Y77</f>
        <v>43.85</v>
      </c>
      <c r="U121">
        <f>ROUND((175/100)*ROUND((Source!AE77*Source!AV77)*Source!I77, 2), 2)</f>
        <v>0</v>
      </c>
      <c r="V121">
        <f>ROUND((108/100)*ROUND(Source!CS77*Source!I77, 2), 2)</f>
        <v>0</v>
      </c>
    </row>
    <row r="122" spans="1:22" x14ac:dyDescent="0.2">
      <c r="C122" s="22" t="str">
        <f>"Объем: "&amp;Source!I77&amp;"=(1009)*"&amp;"0,25*"&amp;"0,1/"&amp;"100"</f>
        <v>Объем: 0,25225=(1009)*0,25*0,1/100</v>
      </c>
    </row>
    <row r="123" spans="1:22" ht="14.25" x14ac:dyDescent="0.2">
      <c r="A123" s="18"/>
      <c r="B123" s="18"/>
      <c r="C123" s="18" t="s">
        <v>641</v>
      </c>
      <c r="D123" s="19"/>
      <c r="E123" s="9"/>
      <c r="F123" s="21">
        <f>Source!AO77</f>
        <v>434.63</v>
      </c>
      <c r="G123" s="20" t="str">
        <f>Source!DG77</f>
        <v>)*4</v>
      </c>
      <c r="H123" s="9">
        <f>Source!AV77</f>
        <v>1</v>
      </c>
      <c r="I123" s="9">
        <f>IF(Source!BA77&lt;&gt; 0, Source!BA77, 1)</f>
        <v>1</v>
      </c>
      <c r="J123" s="21">
        <f>Source!S77</f>
        <v>438.54</v>
      </c>
      <c r="K123" s="21"/>
    </row>
    <row r="124" spans="1:22" ht="14.25" x14ac:dyDescent="0.2">
      <c r="A124" s="18"/>
      <c r="B124" s="18"/>
      <c r="C124" s="18" t="s">
        <v>642</v>
      </c>
      <c r="D124" s="19" t="s">
        <v>643</v>
      </c>
      <c r="E124" s="9">
        <f>Source!AT77</f>
        <v>70</v>
      </c>
      <c r="F124" s="21"/>
      <c r="G124" s="20"/>
      <c r="H124" s="9"/>
      <c r="I124" s="9"/>
      <c r="J124" s="21">
        <f>SUM(R121:R123)</f>
        <v>306.98</v>
      </c>
      <c r="K124" s="21"/>
    </row>
    <row r="125" spans="1:22" ht="14.25" x14ac:dyDescent="0.2">
      <c r="A125" s="18"/>
      <c r="B125" s="18"/>
      <c r="C125" s="18" t="s">
        <v>644</v>
      </c>
      <c r="D125" s="19" t="s">
        <v>643</v>
      </c>
      <c r="E125" s="9">
        <f>Source!AU77</f>
        <v>10</v>
      </c>
      <c r="F125" s="21"/>
      <c r="G125" s="20"/>
      <c r="H125" s="9"/>
      <c r="I125" s="9"/>
      <c r="J125" s="21">
        <f>SUM(T121:T124)</f>
        <v>43.85</v>
      </c>
      <c r="K125" s="21"/>
    </row>
    <row r="126" spans="1:22" ht="14.25" x14ac:dyDescent="0.2">
      <c r="A126" s="18"/>
      <c r="B126" s="18"/>
      <c r="C126" s="18" t="s">
        <v>645</v>
      </c>
      <c r="D126" s="19" t="s">
        <v>646</v>
      </c>
      <c r="E126" s="9">
        <f>Source!AQ77</f>
        <v>0.9</v>
      </c>
      <c r="F126" s="21"/>
      <c r="G126" s="20" t="str">
        <f>Source!DI77</f>
        <v>)*4</v>
      </c>
      <c r="H126" s="9">
        <f>Source!AV77</f>
        <v>1</v>
      </c>
      <c r="I126" s="9"/>
      <c r="J126" s="21"/>
      <c r="K126" s="21">
        <f>Source!U77</f>
        <v>0.90809999999999991</v>
      </c>
    </row>
    <row r="127" spans="1:22" ht="15" x14ac:dyDescent="0.25">
      <c r="A127" s="24"/>
      <c r="B127" s="24"/>
      <c r="C127" s="24"/>
      <c r="D127" s="24"/>
      <c r="E127" s="24"/>
      <c r="F127" s="24"/>
      <c r="G127" s="24"/>
      <c r="H127" s="24"/>
      <c r="I127" s="38">
        <f>J123+J124+J125</f>
        <v>789.37</v>
      </c>
      <c r="J127" s="38"/>
      <c r="K127" s="25">
        <f>IF(Source!I77&lt;&gt;0, ROUND(I127/Source!I77, 2), 0)</f>
        <v>3129.32</v>
      </c>
      <c r="P127" s="23">
        <f>I127</f>
        <v>789.37</v>
      </c>
    </row>
    <row r="128" spans="1:22" ht="57" x14ac:dyDescent="0.2">
      <c r="A128" s="18">
        <v>12</v>
      </c>
      <c r="B128" s="18" t="str">
        <f>Source!F78</f>
        <v>1.15-2101-2-1/1</v>
      </c>
      <c r="C128" s="18" t="str">
        <f>Source!G78</f>
        <v>Осмотр магистральных неизолированных внутренних трубопроводов диаметром до 100 мм с лестниц</v>
      </c>
      <c r="D128" s="19" t="str">
        <f>Source!H78</f>
        <v>100 м</v>
      </c>
      <c r="E128" s="9">
        <f>Source!I78</f>
        <v>0.75675000000000003</v>
      </c>
      <c r="F128" s="21"/>
      <c r="G128" s="20"/>
      <c r="H128" s="9"/>
      <c r="I128" s="9"/>
      <c r="J128" s="21"/>
      <c r="K128" s="21"/>
      <c r="Q128">
        <f>ROUND((Source!BZ78/100)*ROUND((Source!AF78*Source!AV78)*Source!I78, 2), 2)</f>
        <v>2701.38</v>
      </c>
      <c r="R128">
        <f>Source!X78</f>
        <v>2701.38</v>
      </c>
      <c r="S128">
        <f>ROUND((Source!CA78/100)*ROUND((Source!AF78*Source!AV78)*Source!I78, 2), 2)</f>
        <v>385.91</v>
      </c>
      <c r="T128">
        <f>Source!Y78</f>
        <v>385.91</v>
      </c>
      <c r="U128">
        <f>ROUND((175/100)*ROUND((Source!AE78*Source!AV78)*Source!I78, 2), 2)</f>
        <v>0</v>
      </c>
      <c r="V128">
        <f>ROUND((108/100)*ROUND(Source!CS78*Source!I78, 2), 2)</f>
        <v>0</v>
      </c>
    </row>
    <row r="129" spans="1:22" x14ac:dyDescent="0.2">
      <c r="C129" s="22" t="str">
        <f>"Объем: "&amp;Source!I78&amp;"=(1009)*"&amp;"0,75*"&amp;"0,1/"&amp;"100"</f>
        <v>Объем: 0,75675=(1009)*0,75*0,1/100</v>
      </c>
    </row>
    <row r="130" spans="1:22" ht="14.25" x14ac:dyDescent="0.2">
      <c r="A130" s="18"/>
      <c r="B130" s="18"/>
      <c r="C130" s="18" t="s">
        <v>641</v>
      </c>
      <c r="D130" s="19"/>
      <c r="E130" s="9"/>
      <c r="F130" s="21">
        <f>Source!AO78</f>
        <v>1274.9000000000001</v>
      </c>
      <c r="G130" s="20" t="str">
        <f>Source!DG78</f>
        <v>)*4</v>
      </c>
      <c r="H130" s="9">
        <f>Source!AV78</f>
        <v>1</v>
      </c>
      <c r="I130" s="9">
        <f>IF(Source!BA78&lt;&gt; 0, Source!BA78, 1)</f>
        <v>1</v>
      </c>
      <c r="J130" s="21">
        <f>Source!S78</f>
        <v>3859.12</v>
      </c>
      <c r="K130" s="21"/>
    </row>
    <row r="131" spans="1:22" ht="14.25" x14ac:dyDescent="0.2">
      <c r="A131" s="18"/>
      <c r="B131" s="18"/>
      <c r="C131" s="18" t="s">
        <v>642</v>
      </c>
      <c r="D131" s="19" t="s">
        <v>643</v>
      </c>
      <c r="E131" s="9">
        <f>Source!AT78</f>
        <v>70</v>
      </c>
      <c r="F131" s="21"/>
      <c r="G131" s="20"/>
      <c r="H131" s="9"/>
      <c r="I131" s="9"/>
      <c r="J131" s="21">
        <f>SUM(R128:R130)</f>
        <v>2701.38</v>
      </c>
      <c r="K131" s="21"/>
    </row>
    <row r="132" spans="1:22" ht="14.25" x14ac:dyDescent="0.2">
      <c r="A132" s="18"/>
      <c r="B132" s="18"/>
      <c r="C132" s="18" t="s">
        <v>644</v>
      </c>
      <c r="D132" s="19" t="s">
        <v>643</v>
      </c>
      <c r="E132" s="9">
        <f>Source!AU78</f>
        <v>10</v>
      </c>
      <c r="F132" s="21"/>
      <c r="G132" s="20"/>
      <c r="H132" s="9"/>
      <c r="I132" s="9"/>
      <c r="J132" s="21">
        <f>SUM(T128:T131)</f>
        <v>385.91</v>
      </c>
      <c r="K132" s="21"/>
    </row>
    <row r="133" spans="1:22" ht="14.25" x14ac:dyDescent="0.2">
      <c r="A133" s="18"/>
      <c r="B133" s="18"/>
      <c r="C133" s="18" t="s">
        <v>645</v>
      </c>
      <c r="D133" s="19" t="s">
        <v>646</v>
      </c>
      <c r="E133" s="9">
        <f>Source!AQ78</f>
        <v>2.64</v>
      </c>
      <c r="F133" s="21"/>
      <c r="G133" s="20" t="str">
        <f>Source!DI78</f>
        <v>)*4</v>
      </c>
      <c r="H133" s="9">
        <f>Source!AV78</f>
        <v>1</v>
      </c>
      <c r="I133" s="9"/>
      <c r="J133" s="21"/>
      <c r="K133" s="21">
        <f>Source!U78</f>
        <v>7.9912800000000006</v>
      </c>
    </row>
    <row r="134" spans="1:22" ht="15" x14ac:dyDescent="0.25">
      <c r="A134" s="24"/>
      <c r="B134" s="24"/>
      <c r="C134" s="24"/>
      <c r="D134" s="24"/>
      <c r="E134" s="24"/>
      <c r="F134" s="24"/>
      <c r="G134" s="24"/>
      <c r="H134" s="24"/>
      <c r="I134" s="38">
        <f>J130+J131+J132</f>
        <v>6946.41</v>
      </c>
      <c r="J134" s="38"/>
      <c r="K134" s="25">
        <f>IF(Source!I78&lt;&gt;0, ROUND(I134/Source!I78, 2), 0)</f>
        <v>9179.27</v>
      </c>
      <c r="P134" s="23">
        <f>I134</f>
        <v>6946.41</v>
      </c>
    </row>
    <row r="135" spans="1:22" ht="42.75" x14ac:dyDescent="0.2">
      <c r="A135" s="18">
        <v>13</v>
      </c>
      <c r="B135" s="18" t="str">
        <f>Source!F80</f>
        <v>1.23-2103-39-2/1</v>
      </c>
      <c r="C135" s="18" t="str">
        <f>Source!G80</f>
        <v>Техническое обслуживание счетчиков холодной и горячей воды условным диаметром 25-40 мм.</v>
      </c>
      <c r="D135" s="19" t="str">
        <f>Source!H80</f>
        <v>шт.</v>
      </c>
      <c r="E135" s="9">
        <f>Source!I80</f>
        <v>1</v>
      </c>
      <c r="F135" s="21"/>
      <c r="G135" s="20"/>
      <c r="H135" s="9"/>
      <c r="I135" s="9"/>
      <c r="J135" s="21"/>
      <c r="K135" s="21"/>
      <c r="Q135">
        <f>ROUND((Source!BZ80/100)*ROUND((Source!AF80*Source!AV80)*Source!I80, 2), 2)</f>
        <v>703.13</v>
      </c>
      <c r="R135">
        <f>Source!X80</f>
        <v>703.13</v>
      </c>
      <c r="S135">
        <f>ROUND((Source!CA80/100)*ROUND((Source!AF80*Source!AV80)*Source!I80, 2), 2)</f>
        <v>100.45</v>
      </c>
      <c r="T135">
        <f>Source!Y80</f>
        <v>100.45</v>
      </c>
      <c r="U135">
        <f>ROUND((175/100)*ROUND((Source!AE80*Source!AV80)*Source!I80, 2), 2)</f>
        <v>0</v>
      </c>
      <c r="V135">
        <f>ROUND((108/100)*ROUND(Source!CS80*Source!I80, 2), 2)</f>
        <v>0</v>
      </c>
    </row>
    <row r="136" spans="1:22" ht="14.25" x14ac:dyDescent="0.2">
      <c r="A136" s="18"/>
      <c r="B136" s="18"/>
      <c r="C136" s="18" t="s">
        <v>641</v>
      </c>
      <c r="D136" s="19"/>
      <c r="E136" s="9"/>
      <c r="F136" s="21">
        <f>Source!AO80</f>
        <v>1004.47</v>
      </c>
      <c r="G136" s="20" t="str">
        <f>Source!DG80</f>
        <v/>
      </c>
      <c r="H136" s="9">
        <f>Source!AV80</f>
        <v>1</v>
      </c>
      <c r="I136" s="9">
        <f>IF(Source!BA80&lt;&gt; 0, Source!BA80, 1)</f>
        <v>1</v>
      </c>
      <c r="J136" s="21">
        <f>Source!S80</f>
        <v>1004.47</v>
      </c>
      <c r="K136" s="21"/>
    </row>
    <row r="137" spans="1:22" ht="14.25" x14ac:dyDescent="0.2">
      <c r="A137" s="18"/>
      <c r="B137" s="18"/>
      <c r="C137" s="18" t="s">
        <v>649</v>
      </c>
      <c r="D137" s="19"/>
      <c r="E137" s="9"/>
      <c r="F137" s="21">
        <f>Source!AL80</f>
        <v>0.17</v>
      </c>
      <c r="G137" s="20" t="str">
        <f>Source!DD80</f>
        <v/>
      </c>
      <c r="H137" s="9">
        <f>Source!AW80</f>
        <v>1</v>
      </c>
      <c r="I137" s="9">
        <f>IF(Source!BC80&lt;&gt; 0, Source!BC80, 1)</f>
        <v>1</v>
      </c>
      <c r="J137" s="21">
        <f>Source!P80</f>
        <v>0.17</v>
      </c>
      <c r="K137" s="21"/>
    </row>
    <row r="138" spans="1:22" ht="14.25" x14ac:dyDescent="0.2">
      <c r="A138" s="18"/>
      <c r="B138" s="18"/>
      <c r="C138" s="18" t="s">
        <v>642</v>
      </c>
      <c r="D138" s="19" t="s">
        <v>643</v>
      </c>
      <c r="E138" s="9">
        <f>Source!AT80</f>
        <v>70</v>
      </c>
      <c r="F138" s="21"/>
      <c r="G138" s="20"/>
      <c r="H138" s="9"/>
      <c r="I138" s="9"/>
      <c r="J138" s="21">
        <f>SUM(R135:R137)</f>
        <v>703.13</v>
      </c>
      <c r="K138" s="21"/>
    </row>
    <row r="139" spans="1:22" ht="14.25" x14ac:dyDescent="0.2">
      <c r="A139" s="18"/>
      <c r="B139" s="18"/>
      <c r="C139" s="18" t="s">
        <v>644</v>
      </c>
      <c r="D139" s="19" t="s">
        <v>643</v>
      </c>
      <c r="E139" s="9">
        <f>Source!AU80</f>
        <v>10</v>
      </c>
      <c r="F139" s="21"/>
      <c r="G139" s="20"/>
      <c r="H139" s="9"/>
      <c r="I139" s="9"/>
      <c r="J139" s="21">
        <f>SUM(T135:T138)</f>
        <v>100.45</v>
      </c>
      <c r="K139" s="21"/>
    </row>
    <row r="140" spans="1:22" ht="14.25" x14ac:dyDescent="0.2">
      <c r="A140" s="18"/>
      <c r="B140" s="18"/>
      <c r="C140" s="18" t="s">
        <v>645</v>
      </c>
      <c r="D140" s="19" t="s">
        <v>646</v>
      </c>
      <c r="E140" s="9">
        <f>Source!AQ80</f>
        <v>2.08</v>
      </c>
      <c r="F140" s="21"/>
      <c r="G140" s="20" t="str">
        <f>Source!DI80</f>
        <v/>
      </c>
      <c r="H140" s="9">
        <f>Source!AV80</f>
        <v>1</v>
      </c>
      <c r="I140" s="9"/>
      <c r="J140" s="21"/>
      <c r="K140" s="21">
        <f>Source!U80</f>
        <v>2.08</v>
      </c>
    </row>
    <row r="141" spans="1:22" ht="15" x14ac:dyDescent="0.25">
      <c r="A141" s="24"/>
      <c r="B141" s="24"/>
      <c r="C141" s="24"/>
      <c r="D141" s="24"/>
      <c r="E141" s="24"/>
      <c r="F141" s="24"/>
      <c r="G141" s="24"/>
      <c r="H141" s="24"/>
      <c r="I141" s="38">
        <f>J136+J137+J138+J139</f>
        <v>1808.22</v>
      </c>
      <c r="J141" s="38"/>
      <c r="K141" s="25">
        <f>IF(Source!I80&lt;&gt;0, ROUND(I141/Source!I80, 2), 0)</f>
        <v>1808.22</v>
      </c>
      <c r="P141" s="23">
        <f>I141</f>
        <v>1808.22</v>
      </c>
    </row>
    <row r="142" spans="1:22" ht="28.5" x14ac:dyDescent="0.2">
      <c r="A142" s="18">
        <v>14</v>
      </c>
      <c r="B142" s="18" t="str">
        <f>Source!F81</f>
        <v>1.17-2103-16-1/1</v>
      </c>
      <c r="C142" s="18" t="str">
        <f>Source!G81</f>
        <v>Техническое обслуживание крана трехходового шарового под манометр</v>
      </c>
      <c r="D142" s="19" t="str">
        <f>Source!H81</f>
        <v>10 шт.</v>
      </c>
      <c r="E142" s="9">
        <f>Source!I81</f>
        <v>0.1</v>
      </c>
      <c r="F142" s="21"/>
      <c r="G142" s="20"/>
      <c r="H142" s="9"/>
      <c r="I142" s="9"/>
      <c r="J142" s="21"/>
      <c r="K142" s="21"/>
      <c r="Q142">
        <f>ROUND((Source!BZ81/100)*ROUND((Source!AF81*Source!AV81)*Source!I81, 2), 2)</f>
        <v>133.66999999999999</v>
      </c>
      <c r="R142">
        <f>Source!X81</f>
        <v>133.66999999999999</v>
      </c>
      <c r="S142">
        <f>ROUND((Source!CA81/100)*ROUND((Source!AF81*Source!AV81)*Source!I81, 2), 2)</f>
        <v>19.100000000000001</v>
      </c>
      <c r="T142">
        <f>Source!Y81</f>
        <v>19.100000000000001</v>
      </c>
      <c r="U142">
        <f>ROUND((175/100)*ROUND((Source!AE81*Source!AV81)*Source!I81, 2), 2)</f>
        <v>0</v>
      </c>
      <c r="V142">
        <f>ROUND((108/100)*ROUND(Source!CS81*Source!I81, 2), 2)</f>
        <v>0</v>
      </c>
    </row>
    <row r="143" spans="1:22" x14ac:dyDescent="0.2">
      <c r="C143" s="22" t="str">
        <f>"Объем: "&amp;Source!I81&amp;"=1/"&amp;"10"</f>
        <v>Объем: 0,1=1/10</v>
      </c>
    </row>
    <row r="144" spans="1:22" ht="14.25" x14ac:dyDescent="0.2">
      <c r="A144" s="18"/>
      <c r="B144" s="18"/>
      <c r="C144" s="18" t="s">
        <v>641</v>
      </c>
      <c r="D144" s="19"/>
      <c r="E144" s="9"/>
      <c r="F144" s="21">
        <f>Source!AO81</f>
        <v>477.41</v>
      </c>
      <c r="G144" s="20" t="str">
        <f>Source!DG81</f>
        <v>)*4</v>
      </c>
      <c r="H144" s="9">
        <f>Source!AV81</f>
        <v>1</v>
      </c>
      <c r="I144" s="9">
        <f>IF(Source!BA81&lt;&gt; 0, Source!BA81, 1)</f>
        <v>1</v>
      </c>
      <c r="J144" s="21">
        <f>Source!S81</f>
        <v>190.96</v>
      </c>
      <c r="K144" s="21"/>
    </row>
    <row r="145" spans="1:22" ht="14.25" x14ac:dyDescent="0.2">
      <c r="A145" s="18"/>
      <c r="B145" s="18"/>
      <c r="C145" s="18" t="s">
        <v>649</v>
      </c>
      <c r="D145" s="19"/>
      <c r="E145" s="9"/>
      <c r="F145" s="21">
        <f>Source!AL81</f>
        <v>0.26</v>
      </c>
      <c r="G145" s="20" t="str">
        <f>Source!DD81</f>
        <v>)*4</v>
      </c>
      <c r="H145" s="9">
        <f>Source!AW81</f>
        <v>1</v>
      </c>
      <c r="I145" s="9">
        <f>IF(Source!BC81&lt;&gt; 0, Source!BC81, 1)</f>
        <v>1</v>
      </c>
      <c r="J145" s="21">
        <f>Source!P81</f>
        <v>0.1</v>
      </c>
      <c r="K145" s="21"/>
    </row>
    <row r="146" spans="1:22" ht="14.25" x14ac:dyDescent="0.2">
      <c r="A146" s="18"/>
      <c r="B146" s="18"/>
      <c r="C146" s="18" t="s">
        <v>642</v>
      </c>
      <c r="D146" s="19" t="s">
        <v>643</v>
      </c>
      <c r="E146" s="9">
        <f>Source!AT81</f>
        <v>70</v>
      </c>
      <c r="F146" s="21"/>
      <c r="G146" s="20"/>
      <c r="H146" s="9"/>
      <c r="I146" s="9"/>
      <c r="J146" s="21">
        <f>SUM(R142:R145)</f>
        <v>133.66999999999999</v>
      </c>
      <c r="K146" s="21"/>
    </row>
    <row r="147" spans="1:22" ht="14.25" x14ac:dyDescent="0.2">
      <c r="A147" s="18"/>
      <c r="B147" s="18"/>
      <c r="C147" s="18" t="s">
        <v>644</v>
      </c>
      <c r="D147" s="19" t="s">
        <v>643</v>
      </c>
      <c r="E147" s="9">
        <f>Source!AU81</f>
        <v>10</v>
      </c>
      <c r="F147" s="21"/>
      <c r="G147" s="20"/>
      <c r="H147" s="9"/>
      <c r="I147" s="9"/>
      <c r="J147" s="21">
        <f>SUM(T142:T146)</f>
        <v>19.100000000000001</v>
      </c>
      <c r="K147" s="21"/>
    </row>
    <row r="148" spans="1:22" ht="14.25" x14ac:dyDescent="0.2">
      <c r="A148" s="18"/>
      <c r="B148" s="18"/>
      <c r="C148" s="18" t="s">
        <v>645</v>
      </c>
      <c r="D148" s="19" t="s">
        <v>646</v>
      </c>
      <c r="E148" s="9">
        <f>Source!AQ81</f>
        <v>0.9</v>
      </c>
      <c r="F148" s="21"/>
      <c r="G148" s="20" t="str">
        <f>Source!DI81</f>
        <v>)*4</v>
      </c>
      <c r="H148" s="9">
        <f>Source!AV81</f>
        <v>1</v>
      </c>
      <c r="I148" s="9"/>
      <c r="J148" s="21"/>
      <c r="K148" s="21">
        <f>Source!U81</f>
        <v>0.36000000000000004</v>
      </c>
    </row>
    <row r="149" spans="1:22" ht="15" x14ac:dyDescent="0.25">
      <c r="A149" s="24"/>
      <c r="B149" s="24"/>
      <c r="C149" s="24"/>
      <c r="D149" s="24"/>
      <c r="E149" s="24"/>
      <c r="F149" s="24"/>
      <c r="G149" s="24"/>
      <c r="H149" s="24"/>
      <c r="I149" s="38">
        <f>J144+J145+J146+J147</f>
        <v>343.83000000000004</v>
      </c>
      <c r="J149" s="38"/>
      <c r="K149" s="25">
        <f>IF(Source!I81&lt;&gt;0, ROUND(I149/Source!I81, 2), 0)</f>
        <v>3438.3</v>
      </c>
      <c r="P149" s="23">
        <f>I149</f>
        <v>343.83000000000004</v>
      </c>
    </row>
    <row r="150" spans="1:22" ht="28.5" x14ac:dyDescent="0.2">
      <c r="A150" s="18">
        <v>15</v>
      </c>
      <c r="B150" s="18" t="str">
        <f>Source!F84</f>
        <v>1.15-2303-4-2/1</v>
      </c>
      <c r="C150" s="18" t="str">
        <f>Source!G84</f>
        <v>Прочистка сетчатых фильтров грубой очистки воды диаметром до 50 мм</v>
      </c>
      <c r="D150" s="19" t="str">
        <f>Source!H84</f>
        <v>10 шт.</v>
      </c>
      <c r="E150" s="9">
        <f>Source!I84</f>
        <v>0.1</v>
      </c>
      <c r="F150" s="21"/>
      <c r="G150" s="20"/>
      <c r="H150" s="9"/>
      <c r="I150" s="9"/>
      <c r="J150" s="21"/>
      <c r="K150" s="21"/>
      <c r="Q150">
        <f>ROUND((Source!BZ84/100)*ROUND((Source!AF84*Source!AV84)*Source!I84, 2), 2)</f>
        <v>346.07</v>
      </c>
      <c r="R150">
        <f>Source!X84</f>
        <v>346.07</v>
      </c>
      <c r="S150">
        <f>ROUND((Source!CA84/100)*ROUND((Source!AF84*Source!AV84)*Source!I84, 2), 2)</f>
        <v>49.44</v>
      </c>
      <c r="T150">
        <f>Source!Y84</f>
        <v>49.44</v>
      </c>
      <c r="U150">
        <f>ROUND((175/100)*ROUND((Source!AE84*Source!AV84)*Source!I84, 2), 2)</f>
        <v>0</v>
      </c>
      <c r="V150">
        <f>ROUND((108/100)*ROUND(Source!CS84*Source!I84, 2), 2)</f>
        <v>0</v>
      </c>
    </row>
    <row r="151" spans="1:22" x14ac:dyDescent="0.2">
      <c r="C151" s="22" t="str">
        <f>"Объем: "&amp;Source!I84&amp;"=1/"&amp;"10"</f>
        <v>Объем: 0,1=1/10</v>
      </c>
    </row>
    <row r="152" spans="1:22" ht="14.25" x14ac:dyDescent="0.2">
      <c r="A152" s="18"/>
      <c r="B152" s="18"/>
      <c r="C152" s="18" t="s">
        <v>641</v>
      </c>
      <c r="D152" s="19"/>
      <c r="E152" s="9"/>
      <c r="F152" s="21">
        <f>Source!AO84</f>
        <v>1235.95</v>
      </c>
      <c r="G152" s="20" t="str">
        <f>Source!DG84</f>
        <v>)*4</v>
      </c>
      <c r="H152" s="9">
        <f>Source!AV84</f>
        <v>1</v>
      </c>
      <c r="I152" s="9">
        <f>IF(Source!BA84&lt;&gt; 0, Source!BA84, 1)</f>
        <v>1</v>
      </c>
      <c r="J152" s="21">
        <f>Source!S84</f>
        <v>494.38</v>
      </c>
      <c r="K152" s="21"/>
    </row>
    <row r="153" spans="1:22" ht="14.25" x14ac:dyDescent="0.2">
      <c r="A153" s="18"/>
      <c r="B153" s="18"/>
      <c r="C153" s="18" t="s">
        <v>642</v>
      </c>
      <c r="D153" s="19" t="s">
        <v>643</v>
      </c>
      <c r="E153" s="9">
        <f>Source!AT84</f>
        <v>70</v>
      </c>
      <c r="F153" s="21"/>
      <c r="G153" s="20"/>
      <c r="H153" s="9"/>
      <c r="I153" s="9"/>
      <c r="J153" s="21">
        <f>SUM(R150:R152)</f>
        <v>346.07</v>
      </c>
      <c r="K153" s="21"/>
    </row>
    <row r="154" spans="1:22" ht="14.25" x14ac:dyDescent="0.2">
      <c r="A154" s="18"/>
      <c r="B154" s="18"/>
      <c r="C154" s="18" t="s">
        <v>644</v>
      </c>
      <c r="D154" s="19" t="s">
        <v>643</v>
      </c>
      <c r="E154" s="9">
        <f>Source!AU84</f>
        <v>10</v>
      </c>
      <c r="F154" s="21"/>
      <c r="G154" s="20"/>
      <c r="H154" s="9"/>
      <c r="I154" s="9"/>
      <c r="J154" s="21">
        <f>SUM(T150:T153)</f>
        <v>49.44</v>
      </c>
      <c r="K154" s="21"/>
    </row>
    <row r="155" spans="1:22" ht="14.25" x14ac:dyDescent="0.2">
      <c r="A155" s="18"/>
      <c r="B155" s="18"/>
      <c r="C155" s="18" t="s">
        <v>645</v>
      </c>
      <c r="D155" s="19" t="s">
        <v>646</v>
      </c>
      <c r="E155" s="9">
        <f>Source!AQ84</f>
        <v>2.33</v>
      </c>
      <c r="F155" s="21"/>
      <c r="G155" s="20" t="str">
        <f>Source!DI84</f>
        <v>)*4</v>
      </c>
      <c r="H155" s="9">
        <f>Source!AV84</f>
        <v>1</v>
      </c>
      <c r="I155" s="9"/>
      <c r="J155" s="21"/>
      <c r="K155" s="21">
        <f>Source!U84</f>
        <v>0.93200000000000005</v>
      </c>
    </row>
    <row r="156" spans="1:22" ht="15" x14ac:dyDescent="0.25">
      <c r="A156" s="24"/>
      <c r="B156" s="24"/>
      <c r="C156" s="24"/>
      <c r="D156" s="24"/>
      <c r="E156" s="24"/>
      <c r="F156" s="24"/>
      <c r="G156" s="24"/>
      <c r="H156" s="24"/>
      <c r="I156" s="38">
        <f>J152+J153+J154</f>
        <v>889.8900000000001</v>
      </c>
      <c r="J156" s="38"/>
      <c r="K156" s="25">
        <f>IF(Source!I84&lt;&gt;0, ROUND(I156/Source!I84, 2), 0)</f>
        <v>8898.9</v>
      </c>
      <c r="P156" s="23">
        <f>I156</f>
        <v>889.8900000000001</v>
      </c>
    </row>
    <row r="157" spans="1:22" ht="28.5" x14ac:dyDescent="0.2">
      <c r="A157" s="18">
        <v>16</v>
      </c>
      <c r="B157" s="18" t="str">
        <f>Source!F85</f>
        <v>1.16-3202-3-1/1</v>
      </c>
      <c r="C157" s="18" t="str">
        <f>Source!G85</f>
        <v>Смена прокладок в смесителях</v>
      </c>
      <c r="D157" s="19" t="str">
        <f>Source!H85</f>
        <v>100 шт.</v>
      </c>
      <c r="E157" s="9">
        <f>Source!I85</f>
        <v>0.22</v>
      </c>
      <c r="F157" s="21"/>
      <c r="G157" s="20"/>
      <c r="H157" s="9"/>
      <c r="I157" s="9"/>
      <c r="J157" s="21"/>
      <c r="K157" s="21"/>
      <c r="Q157">
        <f>ROUND((Source!BZ85/100)*ROUND((Source!AF85*Source!AV85)*Source!I85, 2), 2)</f>
        <v>994.35</v>
      </c>
      <c r="R157">
        <f>Source!X85</f>
        <v>994.35</v>
      </c>
      <c r="S157">
        <f>ROUND((Source!CA85/100)*ROUND((Source!AF85*Source!AV85)*Source!I85, 2), 2)</f>
        <v>142.05000000000001</v>
      </c>
      <c r="T157">
        <f>Source!Y85</f>
        <v>142.05000000000001</v>
      </c>
      <c r="U157">
        <f>ROUND((175/100)*ROUND((Source!AE85*Source!AV85)*Source!I85, 2), 2)</f>
        <v>0</v>
      </c>
      <c r="V157">
        <f>ROUND((108/100)*ROUND(Source!CS85*Source!I85, 2), 2)</f>
        <v>0</v>
      </c>
    </row>
    <row r="158" spans="1:22" x14ac:dyDescent="0.2">
      <c r="C158" s="22" t="str">
        <f>"Объем: "&amp;Source!I85&amp;"=22/"&amp;"100"</f>
        <v>Объем: 0,22=22/100</v>
      </c>
    </row>
    <row r="159" spans="1:22" ht="14.25" x14ac:dyDescent="0.2">
      <c r="A159" s="18"/>
      <c r="B159" s="18"/>
      <c r="C159" s="18" t="s">
        <v>641</v>
      </c>
      <c r="D159" s="19"/>
      <c r="E159" s="9"/>
      <c r="F159" s="21">
        <f>Source!AO85</f>
        <v>6456.83</v>
      </c>
      <c r="G159" s="20" t="str">
        <f>Source!DG85</f>
        <v/>
      </c>
      <c r="H159" s="9">
        <f>Source!AV85</f>
        <v>1</v>
      </c>
      <c r="I159" s="9">
        <f>IF(Source!BA85&lt;&gt; 0, Source!BA85, 1)</f>
        <v>1</v>
      </c>
      <c r="J159" s="21">
        <f>Source!S85</f>
        <v>1420.5</v>
      </c>
      <c r="K159" s="21"/>
    </row>
    <row r="160" spans="1:22" ht="14.25" x14ac:dyDescent="0.2">
      <c r="A160" s="18"/>
      <c r="B160" s="18"/>
      <c r="C160" s="18" t="s">
        <v>649</v>
      </c>
      <c r="D160" s="19"/>
      <c r="E160" s="9"/>
      <c r="F160" s="21">
        <f>Source!AL85</f>
        <v>602.34</v>
      </c>
      <c r="G160" s="20" t="str">
        <f>Source!DD85</f>
        <v/>
      </c>
      <c r="H160" s="9">
        <f>Source!AW85</f>
        <v>1</v>
      </c>
      <c r="I160" s="9">
        <f>IF(Source!BC85&lt;&gt; 0, Source!BC85, 1)</f>
        <v>1</v>
      </c>
      <c r="J160" s="21">
        <f>Source!P85</f>
        <v>132.51</v>
      </c>
      <c r="K160" s="21"/>
    </row>
    <row r="161" spans="1:22" ht="14.25" x14ac:dyDescent="0.2">
      <c r="A161" s="18"/>
      <c r="B161" s="18"/>
      <c r="C161" s="18" t="s">
        <v>642</v>
      </c>
      <c r="D161" s="19" t="s">
        <v>643</v>
      </c>
      <c r="E161" s="9">
        <f>Source!AT85</f>
        <v>70</v>
      </c>
      <c r="F161" s="21"/>
      <c r="G161" s="20"/>
      <c r="H161" s="9"/>
      <c r="I161" s="9"/>
      <c r="J161" s="21">
        <f>SUM(R157:R160)</f>
        <v>994.35</v>
      </c>
      <c r="K161" s="21"/>
    </row>
    <row r="162" spans="1:22" ht="14.25" x14ac:dyDescent="0.2">
      <c r="A162" s="18"/>
      <c r="B162" s="18"/>
      <c r="C162" s="18" t="s">
        <v>644</v>
      </c>
      <c r="D162" s="19" t="s">
        <v>643</v>
      </c>
      <c r="E162" s="9">
        <f>Source!AU85</f>
        <v>10</v>
      </c>
      <c r="F162" s="21"/>
      <c r="G162" s="20"/>
      <c r="H162" s="9"/>
      <c r="I162" s="9"/>
      <c r="J162" s="21">
        <f>SUM(T157:T161)</f>
        <v>142.05000000000001</v>
      </c>
      <c r="K162" s="21"/>
    </row>
    <row r="163" spans="1:22" ht="14.25" x14ac:dyDescent="0.2">
      <c r="A163" s="18"/>
      <c r="B163" s="18"/>
      <c r="C163" s="18" t="s">
        <v>645</v>
      </c>
      <c r="D163" s="19" t="s">
        <v>646</v>
      </c>
      <c r="E163" s="9">
        <f>Source!AQ85</f>
        <v>14.83</v>
      </c>
      <c r="F163" s="21"/>
      <c r="G163" s="20" t="str">
        <f>Source!DI85</f>
        <v/>
      </c>
      <c r="H163" s="9">
        <f>Source!AV85</f>
        <v>1</v>
      </c>
      <c r="I163" s="9"/>
      <c r="J163" s="21"/>
      <c r="K163" s="21">
        <f>Source!U85</f>
        <v>3.2625999999999999</v>
      </c>
    </row>
    <row r="164" spans="1:22" ht="15" x14ac:dyDescent="0.25">
      <c r="A164" s="24"/>
      <c r="B164" s="24"/>
      <c r="C164" s="24"/>
      <c r="D164" s="24"/>
      <c r="E164" s="24"/>
      <c r="F164" s="24"/>
      <c r="G164" s="24"/>
      <c r="H164" s="24"/>
      <c r="I164" s="38">
        <f>J159+J160+J161+J162</f>
        <v>2689.4100000000003</v>
      </c>
      <c r="J164" s="38"/>
      <c r="K164" s="25">
        <f>IF(Source!I85&lt;&gt;0, ROUND(I164/Source!I85, 2), 0)</f>
        <v>12224.59</v>
      </c>
      <c r="P164" s="23">
        <f>I164</f>
        <v>2689.4100000000003</v>
      </c>
    </row>
    <row r="166" spans="1:22" ht="15" x14ac:dyDescent="0.25">
      <c r="A166" s="36" t="str">
        <f>CONCATENATE("Итого по разделу: ",IF(Source!G87&lt;&gt;"Новый раздел", Source!G87, ""))</f>
        <v>Итого по разделу: Система водоснабжения</v>
      </c>
      <c r="B166" s="36"/>
      <c r="C166" s="36"/>
      <c r="D166" s="36"/>
      <c r="E166" s="36"/>
      <c r="F166" s="36"/>
      <c r="G166" s="36"/>
      <c r="H166" s="36"/>
      <c r="I166" s="34">
        <f>SUM(P120:P165)</f>
        <v>13467.13</v>
      </c>
      <c r="J166" s="35"/>
      <c r="K166" s="28"/>
    </row>
    <row r="169" spans="1:22" ht="16.5" x14ac:dyDescent="0.25">
      <c r="A169" s="37" t="str">
        <f>CONCATENATE("Раздел: ",IF(Source!G117&lt;&gt;"Новый раздел", Source!G117, ""))</f>
        <v>Раздел: Система водоотведения</v>
      </c>
      <c r="B169" s="37"/>
      <c r="C169" s="37"/>
      <c r="D169" s="37"/>
      <c r="E169" s="37"/>
      <c r="F169" s="37"/>
      <c r="G169" s="37"/>
      <c r="H169" s="37"/>
      <c r="I169" s="37"/>
      <c r="J169" s="37"/>
      <c r="K169" s="37"/>
    </row>
    <row r="170" spans="1:22" ht="57" x14ac:dyDescent="0.2">
      <c r="A170" s="18">
        <v>17</v>
      </c>
      <c r="B170" s="18" t="str">
        <f>Source!F121</f>
        <v>1.16-2201-1-1/1</v>
      </c>
      <c r="C170" s="18" t="str">
        <f>Source!G121</f>
        <v>Осмотры санитарно-технических приборов и трубопроводов в туалетах общественных зданий - туалет (1 умывальник и 1 унитаз)</v>
      </c>
      <c r="D170" s="19" t="str">
        <f>Source!H121</f>
        <v>10 шт.</v>
      </c>
      <c r="E170" s="9">
        <f>Source!I121</f>
        <v>1.4</v>
      </c>
      <c r="F170" s="21"/>
      <c r="G170" s="20"/>
      <c r="H170" s="9"/>
      <c r="I170" s="9"/>
      <c r="J170" s="21"/>
      <c r="K170" s="21"/>
      <c r="Q170">
        <f>ROUND((Source!BZ121/100)*ROUND((Source!AF121*Source!AV121)*Source!I121, 2), 2)</f>
        <v>11135.05</v>
      </c>
      <c r="R170">
        <f>Source!X121</f>
        <v>11135.05</v>
      </c>
      <c r="S170">
        <f>ROUND((Source!CA121/100)*ROUND((Source!AF121*Source!AV121)*Source!I121, 2), 2)</f>
        <v>1590.72</v>
      </c>
      <c r="T170">
        <f>Source!Y121</f>
        <v>1590.72</v>
      </c>
      <c r="U170">
        <f>ROUND((175/100)*ROUND((Source!AE121*Source!AV121)*Source!I121, 2), 2)</f>
        <v>0</v>
      </c>
      <c r="V170">
        <f>ROUND((108/100)*ROUND(Source!CS121*Source!I121, 2), 2)</f>
        <v>0</v>
      </c>
    </row>
    <row r="171" spans="1:22" x14ac:dyDescent="0.2">
      <c r="C171" s="22" t="str">
        <f>"Объем: "&amp;Source!I121&amp;"=14/"&amp;"10"</f>
        <v>Объем: 1,4=14/10</v>
      </c>
    </row>
    <row r="172" spans="1:22" ht="14.25" x14ac:dyDescent="0.2">
      <c r="A172" s="18"/>
      <c r="B172" s="18"/>
      <c r="C172" s="18" t="s">
        <v>641</v>
      </c>
      <c r="D172" s="19"/>
      <c r="E172" s="9"/>
      <c r="F172" s="21">
        <f>Source!AO121</f>
        <v>668.37</v>
      </c>
      <c r="G172" s="20" t="str">
        <f>Source!DG121</f>
        <v>)*17</v>
      </c>
      <c r="H172" s="9">
        <f>Source!AV121</f>
        <v>1</v>
      </c>
      <c r="I172" s="9">
        <f>IF(Source!BA121&lt;&gt; 0, Source!BA121, 1)</f>
        <v>1</v>
      </c>
      <c r="J172" s="21">
        <f>Source!S121</f>
        <v>15907.21</v>
      </c>
      <c r="K172" s="21"/>
    </row>
    <row r="173" spans="1:22" ht="14.25" x14ac:dyDescent="0.2">
      <c r="A173" s="18"/>
      <c r="B173" s="18"/>
      <c r="C173" s="18" t="s">
        <v>642</v>
      </c>
      <c r="D173" s="19" t="s">
        <v>643</v>
      </c>
      <c r="E173" s="9">
        <f>Source!AT121</f>
        <v>70</v>
      </c>
      <c r="F173" s="21"/>
      <c r="G173" s="20"/>
      <c r="H173" s="9"/>
      <c r="I173" s="9"/>
      <c r="J173" s="21">
        <f>SUM(R170:R172)</f>
        <v>11135.05</v>
      </c>
      <c r="K173" s="21"/>
    </row>
    <row r="174" spans="1:22" ht="14.25" x14ac:dyDescent="0.2">
      <c r="A174" s="18"/>
      <c r="B174" s="18"/>
      <c r="C174" s="18" t="s">
        <v>644</v>
      </c>
      <c r="D174" s="19" t="s">
        <v>643</v>
      </c>
      <c r="E174" s="9">
        <f>Source!AU121</f>
        <v>10</v>
      </c>
      <c r="F174" s="21"/>
      <c r="G174" s="20"/>
      <c r="H174" s="9"/>
      <c r="I174" s="9"/>
      <c r="J174" s="21">
        <f>SUM(T170:T173)</f>
        <v>1590.72</v>
      </c>
      <c r="K174" s="21"/>
    </row>
    <row r="175" spans="1:22" ht="14.25" x14ac:dyDescent="0.2">
      <c r="A175" s="18"/>
      <c r="B175" s="18"/>
      <c r="C175" s="18" t="s">
        <v>645</v>
      </c>
      <c r="D175" s="19" t="s">
        <v>646</v>
      </c>
      <c r="E175" s="9">
        <f>Source!AQ121</f>
        <v>1.26</v>
      </c>
      <c r="F175" s="21"/>
      <c r="G175" s="20" t="str">
        <f>Source!DI121</f>
        <v>)*17</v>
      </c>
      <c r="H175" s="9">
        <f>Source!AV121</f>
        <v>1</v>
      </c>
      <c r="I175" s="9"/>
      <c r="J175" s="21"/>
      <c r="K175" s="21">
        <f>Source!U121</f>
        <v>29.988</v>
      </c>
    </row>
    <row r="176" spans="1:22" ht="15" x14ac:dyDescent="0.25">
      <c r="A176" s="24"/>
      <c r="B176" s="24"/>
      <c r="C176" s="24"/>
      <c r="D176" s="24"/>
      <c r="E176" s="24"/>
      <c r="F176" s="24"/>
      <c r="G176" s="24"/>
      <c r="H176" s="24"/>
      <c r="I176" s="38">
        <f>J172+J173+J174</f>
        <v>28632.98</v>
      </c>
      <c r="J176" s="38"/>
      <c r="K176" s="25">
        <f>IF(Source!I121&lt;&gt;0, ROUND(I176/Source!I121, 2), 0)</f>
        <v>20452.13</v>
      </c>
      <c r="P176" s="23">
        <f>I176</f>
        <v>28632.98</v>
      </c>
    </row>
    <row r="177" spans="1:22" ht="71.25" x14ac:dyDescent="0.2">
      <c r="A177" s="18">
        <v>18</v>
      </c>
      <c r="B177" s="18" t="str">
        <f>Source!F122</f>
        <v>1.16-2201-1-3/1</v>
      </c>
      <c r="C177" s="18" t="str">
        <f>Source!G122</f>
        <v>Осмотры санитарно-технических приборов и трубопроводов в туалетах общественных зданий - добавлять на осмотр каждого умывальника сверх одного</v>
      </c>
      <c r="D177" s="19" t="str">
        <f>Source!H122</f>
        <v>10 шт.</v>
      </c>
      <c r="E177" s="9">
        <f>Source!I122</f>
        <v>1.3</v>
      </c>
      <c r="F177" s="21"/>
      <c r="G177" s="20"/>
      <c r="H177" s="9"/>
      <c r="I177" s="9"/>
      <c r="J177" s="21"/>
      <c r="K177" s="21"/>
      <c r="Q177">
        <f>ROUND((Source!BZ122/100)*ROUND((Source!AF122*Source!AV122)*Source!I122, 2), 2)</f>
        <v>1887.34</v>
      </c>
      <c r="R177">
        <f>Source!X122</f>
        <v>1887.34</v>
      </c>
      <c r="S177">
        <f>ROUND((Source!CA122/100)*ROUND((Source!AF122*Source!AV122)*Source!I122, 2), 2)</f>
        <v>269.62</v>
      </c>
      <c r="T177">
        <f>Source!Y122</f>
        <v>269.62</v>
      </c>
      <c r="U177">
        <f>ROUND((175/100)*ROUND((Source!AE122*Source!AV122)*Source!I122, 2), 2)</f>
        <v>0</v>
      </c>
      <c r="V177">
        <f>ROUND((108/100)*ROUND(Source!CS122*Source!I122, 2), 2)</f>
        <v>0</v>
      </c>
    </row>
    <row r="178" spans="1:22" x14ac:dyDescent="0.2">
      <c r="C178" s="22" t="str">
        <f>"Объем: "&amp;Source!I122&amp;"=13/"&amp;"10"</f>
        <v>Объем: 1,3=13/10</v>
      </c>
    </row>
    <row r="179" spans="1:22" ht="14.25" x14ac:dyDescent="0.2">
      <c r="A179" s="18"/>
      <c r="B179" s="18"/>
      <c r="C179" s="18" t="s">
        <v>641</v>
      </c>
      <c r="D179" s="19"/>
      <c r="E179" s="9"/>
      <c r="F179" s="21">
        <f>Source!AO122</f>
        <v>122</v>
      </c>
      <c r="G179" s="20" t="str">
        <f>Source!DG122</f>
        <v>)*17</v>
      </c>
      <c r="H179" s="9">
        <f>Source!AV122</f>
        <v>1</v>
      </c>
      <c r="I179" s="9">
        <f>IF(Source!BA122&lt;&gt; 0, Source!BA122, 1)</f>
        <v>1</v>
      </c>
      <c r="J179" s="21">
        <f>Source!S122</f>
        <v>2696.2</v>
      </c>
      <c r="K179" s="21"/>
    </row>
    <row r="180" spans="1:22" ht="14.25" x14ac:dyDescent="0.2">
      <c r="A180" s="18"/>
      <c r="B180" s="18"/>
      <c r="C180" s="18" t="s">
        <v>642</v>
      </c>
      <c r="D180" s="19" t="s">
        <v>643</v>
      </c>
      <c r="E180" s="9">
        <f>Source!AT122</f>
        <v>70</v>
      </c>
      <c r="F180" s="21"/>
      <c r="G180" s="20"/>
      <c r="H180" s="9"/>
      <c r="I180" s="9"/>
      <c r="J180" s="21">
        <f>SUM(R177:R179)</f>
        <v>1887.34</v>
      </c>
      <c r="K180" s="21"/>
    </row>
    <row r="181" spans="1:22" ht="14.25" x14ac:dyDescent="0.2">
      <c r="A181" s="18"/>
      <c r="B181" s="18"/>
      <c r="C181" s="18" t="s">
        <v>644</v>
      </c>
      <c r="D181" s="19" t="s">
        <v>643</v>
      </c>
      <c r="E181" s="9">
        <f>Source!AU122</f>
        <v>10</v>
      </c>
      <c r="F181" s="21"/>
      <c r="G181" s="20"/>
      <c r="H181" s="9"/>
      <c r="I181" s="9"/>
      <c r="J181" s="21">
        <f>SUM(T177:T180)</f>
        <v>269.62</v>
      </c>
      <c r="K181" s="21"/>
    </row>
    <row r="182" spans="1:22" ht="14.25" x14ac:dyDescent="0.2">
      <c r="A182" s="18"/>
      <c r="B182" s="18"/>
      <c r="C182" s="18" t="s">
        <v>645</v>
      </c>
      <c r="D182" s="19" t="s">
        <v>646</v>
      </c>
      <c r="E182" s="9">
        <f>Source!AQ122</f>
        <v>0.23</v>
      </c>
      <c r="F182" s="21"/>
      <c r="G182" s="20" t="str">
        <f>Source!DI122</f>
        <v>)*17</v>
      </c>
      <c r="H182" s="9">
        <f>Source!AV122</f>
        <v>1</v>
      </c>
      <c r="I182" s="9"/>
      <c r="J182" s="21"/>
      <c r="K182" s="21">
        <f>Source!U122</f>
        <v>5.0830000000000002</v>
      </c>
    </row>
    <row r="183" spans="1:22" ht="15" x14ac:dyDescent="0.25">
      <c r="A183" s="24"/>
      <c r="B183" s="24"/>
      <c r="C183" s="24"/>
      <c r="D183" s="24"/>
      <c r="E183" s="24"/>
      <c r="F183" s="24"/>
      <c r="G183" s="24"/>
      <c r="H183" s="24"/>
      <c r="I183" s="38">
        <f>J179+J180+J181</f>
        <v>4853.16</v>
      </c>
      <c r="J183" s="38"/>
      <c r="K183" s="25">
        <f>IF(Source!I122&lt;&gt;0, ROUND(I183/Source!I122, 2), 0)</f>
        <v>3733.2</v>
      </c>
      <c r="P183" s="23">
        <f>I183</f>
        <v>4853.16</v>
      </c>
    </row>
    <row r="184" spans="1:22" ht="71.25" x14ac:dyDescent="0.2">
      <c r="A184" s="18">
        <v>19</v>
      </c>
      <c r="B184" s="18" t="str">
        <f>Source!F123</f>
        <v>1.16-2201-1-3/1</v>
      </c>
      <c r="C184" s="18" t="str">
        <f>Source!G123</f>
        <v>Осмотры санитарно-технических приборов и трубопроводов в туалетах общественных зданий - добавлять на осмотр каждого умывальника сверх одного / раковины</v>
      </c>
      <c r="D184" s="19" t="str">
        <f>Source!H123</f>
        <v>10 шт.</v>
      </c>
      <c r="E184" s="9">
        <f>Source!I123</f>
        <v>0.1</v>
      </c>
      <c r="F184" s="21"/>
      <c r="G184" s="20"/>
      <c r="H184" s="9"/>
      <c r="I184" s="9"/>
      <c r="J184" s="21"/>
      <c r="K184" s="21"/>
      <c r="Q184">
        <f>ROUND((Source!BZ123/100)*ROUND((Source!AF123*Source!AV123)*Source!I123, 2), 2)</f>
        <v>145.18</v>
      </c>
      <c r="R184">
        <f>Source!X123</f>
        <v>145.18</v>
      </c>
      <c r="S184">
        <f>ROUND((Source!CA123/100)*ROUND((Source!AF123*Source!AV123)*Source!I123, 2), 2)</f>
        <v>20.74</v>
      </c>
      <c r="T184">
        <f>Source!Y123</f>
        <v>20.74</v>
      </c>
      <c r="U184">
        <f>ROUND((175/100)*ROUND((Source!AE123*Source!AV123)*Source!I123, 2), 2)</f>
        <v>0</v>
      </c>
      <c r="V184">
        <f>ROUND((108/100)*ROUND(Source!CS123*Source!I123, 2), 2)</f>
        <v>0</v>
      </c>
    </row>
    <row r="185" spans="1:22" x14ac:dyDescent="0.2">
      <c r="C185" s="22" t="str">
        <f>"Объем: "&amp;Source!I123&amp;"=1/"&amp;"10"</f>
        <v>Объем: 0,1=1/10</v>
      </c>
    </row>
    <row r="186" spans="1:22" ht="14.25" x14ac:dyDescent="0.2">
      <c r="A186" s="18"/>
      <c r="B186" s="18"/>
      <c r="C186" s="18" t="s">
        <v>641</v>
      </c>
      <c r="D186" s="19"/>
      <c r="E186" s="9"/>
      <c r="F186" s="21">
        <f>Source!AO123</f>
        <v>122</v>
      </c>
      <c r="G186" s="20" t="str">
        <f>Source!DG123</f>
        <v>)*17</v>
      </c>
      <c r="H186" s="9">
        <f>Source!AV123</f>
        <v>1</v>
      </c>
      <c r="I186" s="9">
        <f>IF(Source!BA123&lt;&gt; 0, Source!BA123, 1)</f>
        <v>1</v>
      </c>
      <c r="J186" s="21">
        <f>Source!S123</f>
        <v>207.4</v>
      </c>
      <c r="K186" s="21"/>
    </row>
    <row r="187" spans="1:22" ht="14.25" x14ac:dyDescent="0.2">
      <c r="A187" s="18"/>
      <c r="B187" s="18"/>
      <c r="C187" s="18" t="s">
        <v>642</v>
      </c>
      <c r="D187" s="19" t="s">
        <v>643</v>
      </c>
      <c r="E187" s="9">
        <f>Source!AT123</f>
        <v>70</v>
      </c>
      <c r="F187" s="21"/>
      <c r="G187" s="20"/>
      <c r="H187" s="9"/>
      <c r="I187" s="9"/>
      <c r="J187" s="21">
        <f>SUM(R184:R186)</f>
        <v>145.18</v>
      </c>
      <c r="K187" s="21"/>
    </row>
    <row r="188" spans="1:22" ht="14.25" x14ac:dyDescent="0.2">
      <c r="A188" s="18"/>
      <c r="B188" s="18"/>
      <c r="C188" s="18" t="s">
        <v>644</v>
      </c>
      <c r="D188" s="19" t="s">
        <v>643</v>
      </c>
      <c r="E188" s="9">
        <f>Source!AU123</f>
        <v>10</v>
      </c>
      <c r="F188" s="21"/>
      <c r="G188" s="20"/>
      <c r="H188" s="9"/>
      <c r="I188" s="9"/>
      <c r="J188" s="21">
        <f>SUM(T184:T187)</f>
        <v>20.74</v>
      </c>
      <c r="K188" s="21"/>
    </row>
    <row r="189" spans="1:22" ht="14.25" x14ac:dyDescent="0.2">
      <c r="A189" s="18"/>
      <c r="B189" s="18"/>
      <c r="C189" s="18" t="s">
        <v>645</v>
      </c>
      <c r="D189" s="19" t="s">
        <v>646</v>
      </c>
      <c r="E189" s="9">
        <f>Source!AQ123</f>
        <v>0.23</v>
      </c>
      <c r="F189" s="21"/>
      <c r="G189" s="20" t="str">
        <f>Source!DI123</f>
        <v>)*17</v>
      </c>
      <c r="H189" s="9">
        <f>Source!AV123</f>
        <v>1</v>
      </c>
      <c r="I189" s="9"/>
      <c r="J189" s="21"/>
      <c r="K189" s="21">
        <f>Source!U123</f>
        <v>0.39100000000000001</v>
      </c>
    </row>
    <row r="190" spans="1:22" ht="15" x14ac:dyDescent="0.25">
      <c r="A190" s="24"/>
      <c r="B190" s="24"/>
      <c r="C190" s="24"/>
      <c r="D190" s="24"/>
      <c r="E190" s="24"/>
      <c r="F190" s="24"/>
      <c r="G190" s="24"/>
      <c r="H190" s="24"/>
      <c r="I190" s="38">
        <f>J186+J187+J188</f>
        <v>373.32000000000005</v>
      </c>
      <c r="J190" s="38"/>
      <c r="K190" s="25">
        <f>IF(Source!I123&lt;&gt;0, ROUND(I190/Source!I123, 2), 0)</f>
        <v>3733.2</v>
      </c>
      <c r="P190" s="23">
        <f>I190</f>
        <v>373.32000000000005</v>
      </c>
    </row>
    <row r="191" spans="1:22" ht="28.5" x14ac:dyDescent="0.2">
      <c r="A191" s="18">
        <v>20</v>
      </c>
      <c r="B191" s="18" t="str">
        <f>Source!F124</f>
        <v>1.16-3201-2-1/1</v>
      </c>
      <c r="C191" s="18" t="str">
        <f>Source!G124</f>
        <v>Укрепление расшатавшихся санитарно-технических приборов - умывальники</v>
      </c>
      <c r="D191" s="19" t="str">
        <f>Source!H124</f>
        <v>100 шт.</v>
      </c>
      <c r="E191" s="9">
        <f>Source!I124</f>
        <v>0.14000000000000001</v>
      </c>
      <c r="F191" s="21"/>
      <c r="G191" s="20"/>
      <c r="H191" s="9"/>
      <c r="I191" s="9"/>
      <c r="J191" s="21"/>
      <c r="K191" s="21"/>
      <c r="Q191">
        <f>ROUND((Source!BZ124/100)*ROUND((Source!AF124*Source!AV124)*Source!I124, 2), 2)</f>
        <v>4456.2700000000004</v>
      </c>
      <c r="R191">
        <f>Source!X124</f>
        <v>4456.2700000000004</v>
      </c>
      <c r="S191">
        <f>ROUND((Source!CA124/100)*ROUND((Source!AF124*Source!AV124)*Source!I124, 2), 2)</f>
        <v>636.61</v>
      </c>
      <c r="T191">
        <f>Source!Y124</f>
        <v>636.61</v>
      </c>
      <c r="U191">
        <f>ROUND((175/100)*ROUND((Source!AE124*Source!AV124)*Source!I124, 2), 2)</f>
        <v>0.02</v>
      </c>
      <c r="V191">
        <f>ROUND((108/100)*ROUND(Source!CS124*Source!I124, 2), 2)</f>
        <v>0.01</v>
      </c>
    </row>
    <row r="192" spans="1:22" x14ac:dyDescent="0.2">
      <c r="C192" s="22" t="str">
        <f>"Объем: "&amp;Source!I124&amp;"=14/"&amp;"100"</f>
        <v>Объем: 0,14=14/100</v>
      </c>
    </row>
    <row r="193" spans="1:22" ht="14.25" x14ac:dyDescent="0.2">
      <c r="A193" s="18"/>
      <c r="B193" s="18"/>
      <c r="C193" s="18" t="s">
        <v>641</v>
      </c>
      <c r="D193" s="19"/>
      <c r="E193" s="9"/>
      <c r="F193" s="21">
        <f>Source!AO124</f>
        <v>45472.13</v>
      </c>
      <c r="G193" s="20" t="str">
        <f>Source!DG124</f>
        <v/>
      </c>
      <c r="H193" s="9">
        <f>Source!AV124</f>
        <v>1</v>
      </c>
      <c r="I193" s="9">
        <f>IF(Source!BA124&lt;&gt; 0, Source!BA124, 1)</f>
        <v>1</v>
      </c>
      <c r="J193" s="21">
        <f>Source!S124</f>
        <v>6366.1</v>
      </c>
      <c r="K193" s="21"/>
    </row>
    <row r="194" spans="1:22" ht="14.25" x14ac:dyDescent="0.2">
      <c r="A194" s="18"/>
      <c r="B194" s="18"/>
      <c r="C194" s="18" t="s">
        <v>647</v>
      </c>
      <c r="D194" s="19"/>
      <c r="E194" s="9"/>
      <c r="F194" s="21">
        <f>Source!AM124</f>
        <v>43.15</v>
      </c>
      <c r="G194" s="20" t="str">
        <f>Source!DE124</f>
        <v/>
      </c>
      <c r="H194" s="9">
        <f>Source!AV124</f>
        <v>1</v>
      </c>
      <c r="I194" s="9">
        <f>IF(Source!BB124&lt;&gt; 0, Source!BB124, 1)</f>
        <v>1</v>
      </c>
      <c r="J194" s="21">
        <f>Source!Q124</f>
        <v>6.04</v>
      </c>
      <c r="K194" s="21"/>
    </row>
    <row r="195" spans="1:22" ht="14.25" x14ac:dyDescent="0.2">
      <c r="A195" s="18"/>
      <c r="B195" s="18"/>
      <c r="C195" s="18" t="s">
        <v>648</v>
      </c>
      <c r="D195" s="19"/>
      <c r="E195" s="9"/>
      <c r="F195" s="21">
        <f>Source!AN124</f>
        <v>0.06</v>
      </c>
      <c r="G195" s="20" t="str">
        <f>Source!DF124</f>
        <v/>
      </c>
      <c r="H195" s="9">
        <f>Source!AV124</f>
        <v>1</v>
      </c>
      <c r="I195" s="9">
        <f>IF(Source!BS124&lt;&gt; 0, Source!BS124, 1)</f>
        <v>1</v>
      </c>
      <c r="J195" s="26">
        <f>Source!R124</f>
        <v>0.01</v>
      </c>
      <c r="K195" s="21"/>
    </row>
    <row r="196" spans="1:22" ht="14.25" x14ac:dyDescent="0.2">
      <c r="A196" s="18"/>
      <c r="B196" s="18"/>
      <c r="C196" s="18" t="s">
        <v>649</v>
      </c>
      <c r="D196" s="19"/>
      <c r="E196" s="9"/>
      <c r="F196" s="21">
        <f>Source!AL124</f>
        <v>915.52</v>
      </c>
      <c r="G196" s="20" t="str">
        <f>Source!DD124</f>
        <v/>
      </c>
      <c r="H196" s="9">
        <f>Source!AW124</f>
        <v>1</v>
      </c>
      <c r="I196" s="9">
        <f>IF(Source!BC124&lt;&gt; 0, Source!BC124, 1)</f>
        <v>1</v>
      </c>
      <c r="J196" s="21">
        <f>Source!P124</f>
        <v>128.16999999999999</v>
      </c>
      <c r="K196" s="21"/>
    </row>
    <row r="197" spans="1:22" ht="14.25" x14ac:dyDescent="0.2">
      <c r="A197" s="18"/>
      <c r="B197" s="18"/>
      <c r="C197" s="18" t="s">
        <v>642</v>
      </c>
      <c r="D197" s="19" t="s">
        <v>643</v>
      </c>
      <c r="E197" s="9">
        <f>Source!AT124</f>
        <v>70</v>
      </c>
      <c r="F197" s="21"/>
      <c r="G197" s="20"/>
      <c r="H197" s="9"/>
      <c r="I197" s="9"/>
      <c r="J197" s="21">
        <f>SUM(R191:R196)</f>
        <v>4456.2700000000004</v>
      </c>
      <c r="K197" s="21"/>
    </row>
    <row r="198" spans="1:22" ht="14.25" x14ac:dyDescent="0.2">
      <c r="A198" s="18"/>
      <c r="B198" s="18"/>
      <c r="C198" s="18" t="s">
        <v>644</v>
      </c>
      <c r="D198" s="19" t="s">
        <v>643</v>
      </c>
      <c r="E198" s="9">
        <f>Source!AU124</f>
        <v>10</v>
      </c>
      <c r="F198" s="21"/>
      <c r="G198" s="20"/>
      <c r="H198" s="9"/>
      <c r="I198" s="9"/>
      <c r="J198" s="21">
        <f>SUM(T191:T197)</f>
        <v>636.61</v>
      </c>
      <c r="K198" s="21"/>
    </row>
    <row r="199" spans="1:22" ht="14.25" x14ac:dyDescent="0.2">
      <c r="A199" s="18"/>
      <c r="B199" s="18"/>
      <c r="C199" s="18" t="s">
        <v>650</v>
      </c>
      <c r="D199" s="19" t="s">
        <v>643</v>
      </c>
      <c r="E199" s="9">
        <f>108</f>
        <v>108</v>
      </c>
      <c r="F199" s="21"/>
      <c r="G199" s="20"/>
      <c r="H199" s="9"/>
      <c r="I199" s="9"/>
      <c r="J199" s="21">
        <f>SUM(V191:V198)</f>
        <v>0.01</v>
      </c>
      <c r="K199" s="21"/>
    </row>
    <row r="200" spans="1:22" ht="14.25" x14ac:dyDescent="0.2">
      <c r="A200" s="18"/>
      <c r="B200" s="18"/>
      <c r="C200" s="18" t="s">
        <v>645</v>
      </c>
      <c r="D200" s="19" t="s">
        <v>646</v>
      </c>
      <c r="E200" s="9">
        <f>Source!AQ124</f>
        <v>104.44</v>
      </c>
      <c r="F200" s="21"/>
      <c r="G200" s="20" t="str">
        <f>Source!DI124</f>
        <v/>
      </c>
      <c r="H200" s="9">
        <f>Source!AV124</f>
        <v>1</v>
      </c>
      <c r="I200" s="9"/>
      <c r="J200" s="21"/>
      <c r="K200" s="21">
        <f>Source!U124</f>
        <v>14.621600000000001</v>
      </c>
    </row>
    <row r="201" spans="1:22" ht="15" x14ac:dyDescent="0.25">
      <c r="A201" s="24"/>
      <c r="B201" s="24"/>
      <c r="C201" s="24"/>
      <c r="D201" s="24"/>
      <c r="E201" s="24"/>
      <c r="F201" s="24"/>
      <c r="G201" s="24"/>
      <c r="H201" s="24"/>
      <c r="I201" s="38">
        <f>J193+J194+J196+J197+J198+J199</f>
        <v>11593.200000000003</v>
      </c>
      <c r="J201" s="38"/>
      <c r="K201" s="25">
        <f>IF(Source!I124&lt;&gt;0, ROUND(I201/Source!I124, 2), 0)</f>
        <v>82808.570000000007</v>
      </c>
      <c r="P201" s="23">
        <f>I201</f>
        <v>11593.200000000003</v>
      </c>
    </row>
    <row r="202" spans="1:22" ht="42.75" x14ac:dyDescent="0.2">
      <c r="A202" s="18">
        <v>21</v>
      </c>
      <c r="B202" s="18" t="str">
        <f>Source!F125</f>
        <v>1.16-3201-2-2/1</v>
      </c>
      <c r="C202" s="18" t="str">
        <f>Source!G125</f>
        <v>Укрепление расшатавшихся санитарно-технических приборов - унитазы и биде</v>
      </c>
      <c r="D202" s="19" t="str">
        <f>Source!H125</f>
        <v>100 шт.</v>
      </c>
      <c r="E202" s="9">
        <f>Source!I125</f>
        <v>0.14000000000000001</v>
      </c>
      <c r="F202" s="21"/>
      <c r="G202" s="20"/>
      <c r="H202" s="9"/>
      <c r="I202" s="9"/>
      <c r="J202" s="21"/>
      <c r="K202" s="21"/>
      <c r="Q202">
        <f>ROUND((Source!BZ125/100)*ROUND((Source!AF125*Source!AV125)*Source!I125, 2), 2)</f>
        <v>6482.58</v>
      </c>
      <c r="R202">
        <f>Source!X125</f>
        <v>6482.58</v>
      </c>
      <c r="S202">
        <f>ROUND((Source!CA125/100)*ROUND((Source!AF125*Source!AV125)*Source!I125, 2), 2)</f>
        <v>926.08</v>
      </c>
      <c r="T202">
        <f>Source!Y125</f>
        <v>926.08</v>
      </c>
      <c r="U202">
        <f>ROUND((175/100)*ROUND((Source!AE125*Source!AV125)*Source!I125, 2), 2)</f>
        <v>0.02</v>
      </c>
      <c r="V202">
        <f>ROUND((108/100)*ROUND(Source!CS125*Source!I125, 2), 2)</f>
        <v>0.01</v>
      </c>
    </row>
    <row r="203" spans="1:22" x14ac:dyDescent="0.2">
      <c r="C203" s="22" t="str">
        <f>"Объем: "&amp;Source!I125&amp;"=14/"&amp;"100"</f>
        <v>Объем: 0,14=14/100</v>
      </c>
    </row>
    <row r="204" spans="1:22" ht="14.25" x14ac:dyDescent="0.2">
      <c r="A204" s="18"/>
      <c r="B204" s="18"/>
      <c r="C204" s="18" t="s">
        <v>641</v>
      </c>
      <c r="D204" s="19"/>
      <c r="E204" s="9"/>
      <c r="F204" s="21">
        <f>Source!AO125</f>
        <v>66148.800000000003</v>
      </c>
      <c r="G204" s="20" t="str">
        <f>Source!DG125</f>
        <v/>
      </c>
      <c r="H204" s="9">
        <f>Source!AV125</f>
        <v>1</v>
      </c>
      <c r="I204" s="9">
        <f>IF(Source!BA125&lt;&gt; 0, Source!BA125, 1)</f>
        <v>1</v>
      </c>
      <c r="J204" s="21">
        <f>Source!S125</f>
        <v>9260.83</v>
      </c>
      <c r="K204" s="21"/>
    </row>
    <row r="205" spans="1:22" ht="14.25" x14ac:dyDescent="0.2">
      <c r="A205" s="18"/>
      <c r="B205" s="18"/>
      <c r="C205" s="18" t="s">
        <v>647</v>
      </c>
      <c r="D205" s="19"/>
      <c r="E205" s="9"/>
      <c r="F205" s="21">
        <f>Source!AM125</f>
        <v>43.15</v>
      </c>
      <c r="G205" s="20" t="str">
        <f>Source!DE125</f>
        <v/>
      </c>
      <c r="H205" s="9">
        <f>Source!AV125</f>
        <v>1</v>
      </c>
      <c r="I205" s="9">
        <f>IF(Source!BB125&lt;&gt; 0, Source!BB125, 1)</f>
        <v>1</v>
      </c>
      <c r="J205" s="21">
        <f>Source!Q125</f>
        <v>6.04</v>
      </c>
      <c r="K205" s="21"/>
    </row>
    <row r="206" spans="1:22" ht="14.25" x14ac:dyDescent="0.2">
      <c r="A206" s="18"/>
      <c r="B206" s="18"/>
      <c r="C206" s="18" t="s">
        <v>648</v>
      </c>
      <c r="D206" s="19"/>
      <c r="E206" s="9"/>
      <c r="F206" s="21">
        <f>Source!AN125</f>
        <v>0.06</v>
      </c>
      <c r="G206" s="20" t="str">
        <f>Source!DF125</f>
        <v/>
      </c>
      <c r="H206" s="9">
        <f>Source!AV125</f>
        <v>1</v>
      </c>
      <c r="I206" s="9">
        <f>IF(Source!BS125&lt;&gt; 0, Source!BS125, 1)</f>
        <v>1</v>
      </c>
      <c r="J206" s="26">
        <f>Source!R125</f>
        <v>0.01</v>
      </c>
      <c r="K206" s="21"/>
    </row>
    <row r="207" spans="1:22" ht="14.25" x14ac:dyDescent="0.2">
      <c r="A207" s="18"/>
      <c r="B207" s="18"/>
      <c r="C207" s="18" t="s">
        <v>649</v>
      </c>
      <c r="D207" s="19"/>
      <c r="E207" s="9"/>
      <c r="F207" s="21">
        <f>Source!AL125</f>
        <v>915.52</v>
      </c>
      <c r="G207" s="20" t="str">
        <f>Source!DD125</f>
        <v/>
      </c>
      <c r="H207" s="9">
        <f>Source!AW125</f>
        <v>1</v>
      </c>
      <c r="I207" s="9">
        <f>IF(Source!BC125&lt;&gt; 0, Source!BC125, 1)</f>
        <v>1</v>
      </c>
      <c r="J207" s="21">
        <f>Source!P125</f>
        <v>128.16999999999999</v>
      </c>
      <c r="K207" s="21"/>
    </row>
    <row r="208" spans="1:22" ht="14.25" x14ac:dyDescent="0.2">
      <c r="A208" s="18"/>
      <c r="B208" s="18"/>
      <c r="C208" s="18" t="s">
        <v>642</v>
      </c>
      <c r="D208" s="19" t="s">
        <v>643</v>
      </c>
      <c r="E208" s="9">
        <f>Source!AT125</f>
        <v>70</v>
      </c>
      <c r="F208" s="21"/>
      <c r="G208" s="20"/>
      <c r="H208" s="9"/>
      <c r="I208" s="9"/>
      <c r="J208" s="21">
        <f>SUM(R202:R207)</f>
        <v>6482.58</v>
      </c>
      <c r="K208" s="21"/>
    </row>
    <row r="209" spans="1:22" ht="14.25" x14ac:dyDescent="0.2">
      <c r="A209" s="18"/>
      <c r="B209" s="18"/>
      <c r="C209" s="18" t="s">
        <v>644</v>
      </c>
      <c r="D209" s="19" t="s">
        <v>643</v>
      </c>
      <c r="E209" s="9">
        <f>Source!AU125</f>
        <v>10</v>
      </c>
      <c r="F209" s="21"/>
      <c r="G209" s="20"/>
      <c r="H209" s="9"/>
      <c r="I209" s="9"/>
      <c r="J209" s="21">
        <f>SUM(T202:T208)</f>
        <v>926.08</v>
      </c>
      <c r="K209" s="21"/>
    </row>
    <row r="210" spans="1:22" ht="14.25" x14ac:dyDescent="0.2">
      <c r="A210" s="18"/>
      <c r="B210" s="18"/>
      <c r="C210" s="18" t="s">
        <v>650</v>
      </c>
      <c r="D210" s="19" t="s">
        <v>643</v>
      </c>
      <c r="E210" s="9">
        <f>108</f>
        <v>108</v>
      </c>
      <c r="F210" s="21"/>
      <c r="G210" s="20"/>
      <c r="H210" s="9"/>
      <c r="I210" s="9"/>
      <c r="J210" s="21">
        <f>SUM(V202:V209)</f>
        <v>0.01</v>
      </c>
      <c r="K210" s="21"/>
    </row>
    <row r="211" spans="1:22" ht="14.25" x14ac:dyDescent="0.2">
      <c r="A211" s="18"/>
      <c r="B211" s="18"/>
      <c r="C211" s="18" t="s">
        <v>645</v>
      </c>
      <c r="D211" s="19" t="s">
        <v>646</v>
      </c>
      <c r="E211" s="9">
        <f>Source!AQ125</f>
        <v>151.93</v>
      </c>
      <c r="F211" s="21"/>
      <c r="G211" s="20" t="str">
        <f>Source!DI125</f>
        <v/>
      </c>
      <c r="H211" s="9">
        <f>Source!AV125</f>
        <v>1</v>
      </c>
      <c r="I211" s="9"/>
      <c r="J211" s="21"/>
      <c r="K211" s="21">
        <f>Source!U125</f>
        <v>21.270200000000003</v>
      </c>
    </row>
    <row r="212" spans="1:22" ht="15" x14ac:dyDescent="0.25">
      <c r="A212" s="24"/>
      <c r="B212" s="24"/>
      <c r="C212" s="24"/>
      <c r="D212" s="24"/>
      <c r="E212" s="24"/>
      <c r="F212" s="24"/>
      <c r="G212" s="24"/>
      <c r="H212" s="24"/>
      <c r="I212" s="38">
        <f>J204+J205+J207+J208+J209+J210</f>
        <v>16803.71</v>
      </c>
      <c r="J212" s="38"/>
      <c r="K212" s="25">
        <f>IF(Source!I125&lt;&gt;0, ROUND(I212/Source!I125, 2), 0)</f>
        <v>120026.5</v>
      </c>
      <c r="P212" s="23">
        <f>I212</f>
        <v>16803.71</v>
      </c>
    </row>
    <row r="213" spans="1:22" ht="28.5" x14ac:dyDescent="0.2">
      <c r="A213" s="18">
        <v>22</v>
      </c>
      <c r="B213" s="18" t="str">
        <f>Source!F126</f>
        <v>1.16-2203-1-1/1</v>
      </c>
      <c r="C213" s="18" t="str">
        <f>Source!G126</f>
        <v>Прочистка сифонов / трапов</v>
      </c>
      <c r="D213" s="19" t="str">
        <f>Source!H126</f>
        <v>100 шт.</v>
      </c>
      <c r="E213" s="9">
        <f>Source!I126</f>
        <v>0.05</v>
      </c>
      <c r="F213" s="21"/>
      <c r="G213" s="20"/>
      <c r="H213" s="9"/>
      <c r="I213" s="9"/>
      <c r="J213" s="21"/>
      <c r="K213" s="21"/>
      <c r="Q213">
        <f>ROUND((Source!BZ126/100)*ROUND((Source!AF126*Source!AV126)*Source!I126, 2), 2)</f>
        <v>426.99</v>
      </c>
      <c r="R213">
        <f>Source!X126</f>
        <v>426.99</v>
      </c>
      <c r="S213">
        <f>ROUND((Source!CA126/100)*ROUND((Source!AF126*Source!AV126)*Source!I126, 2), 2)</f>
        <v>61</v>
      </c>
      <c r="T213">
        <f>Source!Y126</f>
        <v>61</v>
      </c>
      <c r="U213">
        <f>ROUND((175/100)*ROUND((Source!AE126*Source!AV126)*Source!I126, 2), 2)</f>
        <v>0</v>
      </c>
      <c r="V213">
        <f>ROUND((108/100)*ROUND(Source!CS126*Source!I126, 2), 2)</f>
        <v>0</v>
      </c>
    </row>
    <row r="214" spans="1:22" x14ac:dyDescent="0.2">
      <c r="C214" s="22" t="str">
        <f>"Объем: "&amp;Source!I126&amp;"=5/"&amp;"100"</f>
        <v>Объем: 0,05=5/100</v>
      </c>
    </row>
    <row r="215" spans="1:22" ht="14.25" x14ac:dyDescent="0.2">
      <c r="A215" s="18"/>
      <c r="B215" s="18"/>
      <c r="C215" s="18" t="s">
        <v>641</v>
      </c>
      <c r="D215" s="19"/>
      <c r="E215" s="9"/>
      <c r="F215" s="21">
        <f>Source!AO126</f>
        <v>12199.63</v>
      </c>
      <c r="G215" s="20" t="str">
        <f>Source!DG126</f>
        <v/>
      </c>
      <c r="H215" s="9">
        <f>Source!AV126</f>
        <v>1</v>
      </c>
      <c r="I215" s="9">
        <f>IF(Source!BA126&lt;&gt; 0, Source!BA126, 1)</f>
        <v>1</v>
      </c>
      <c r="J215" s="21">
        <f>Source!S126</f>
        <v>609.98</v>
      </c>
      <c r="K215" s="21"/>
    </row>
    <row r="216" spans="1:22" ht="14.25" x14ac:dyDescent="0.2">
      <c r="A216" s="18"/>
      <c r="B216" s="18"/>
      <c r="C216" s="18" t="s">
        <v>649</v>
      </c>
      <c r="D216" s="19"/>
      <c r="E216" s="9"/>
      <c r="F216" s="21">
        <f>Source!AL126</f>
        <v>435.34</v>
      </c>
      <c r="G216" s="20" t="str">
        <f>Source!DD126</f>
        <v/>
      </c>
      <c r="H216" s="9">
        <f>Source!AW126</f>
        <v>1</v>
      </c>
      <c r="I216" s="9">
        <f>IF(Source!BC126&lt;&gt; 0, Source!BC126, 1)</f>
        <v>1</v>
      </c>
      <c r="J216" s="21">
        <f>Source!P126</f>
        <v>21.77</v>
      </c>
      <c r="K216" s="21"/>
    </row>
    <row r="217" spans="1:22" ht="14.25" x14ac:dyDescent="0.2">
      <c r="A217" s="18"/>
      <c r="B217" s="18"/>
      <c r="C217" s="18" t="s">
        <v>642</v>
      </c>
      <c r="D217" s="19" t="s">
        <v>643</v>
      </c>
      <c r="E217" s="9">
        <f>Source!AT126</f>
        <v>70</v>
      </c>
      <c r="F217" s="21"/>
      <c r="G217" s="20"/>
      <c r="H217" s="9"/>
      <c r="I217" s="9"/>
      <c r="J217" s="21">
        <f>SUM(R213:R216)</f>
        <v>426.99</v>
      </c>
      <c r="K217" s="21"/>
    </row>
    <row r="218" spans="1:22" ht="14.25" x14ac:dyDescent="0.2">
      <c r="A218" s="18"/>
      <c r="B218" s="18"/>
      <c r="C218" s="18" t="s">
        <v>644</v>
      </c>
      <c r="D218" s="19" t="s">
        <v>643</v>
      </c>
      <c r="E218" s="9">
        <f>Source!AU126</f>
        <v>10</v>
      </c>
      <c r="F218" s="21"/>
      <c r="G218" s="20"/>
      <c r="H218" s="9"/>
      <c r="I218" s="9"/>
      <c r="J218" s="21">
        <f>SUM(T213:T217)</f>
        <v>61</v>
      </c>
      <c r="K218" s="21"/>
    </row>
    <row r="219" spans="1:22" ht="14.25" x14ac:dyDescent="0.2">
      <c r="A219" s="18"/>
      <c r="B219" s="18"/>
      <c r="C219" s="18" t="s">
        <v>645</v>
      </c>
      <c r="D219" s="19" t="s">
        <v>646</v>
      </c>
      <c r="E219" s="9">
        <f>Source!AQ126</f>
        <v>28.02</v>
      </c>
      <c r="F219" s="21"/>
      <c r="G219" s="20" t="str">
        <f>Source!DI126</f>
        <v/>
      </c>
      <c r="H219" s="9">
        <f>Source!AV126</f>
        <v>1</v>
      </c>
      <c r="I219" s="9"/>
      <c r="J219" s="21"/>
      <c r="K219" s="21">
        <f>Source!U126</f>
        <v>1.401</v>
      </c>
    </row>
    <row r="220" spans="1:22" ht="15" x14ac:dyDescent="0.25">
      <c r="A220" s="24"/>
      <c r="B220" s="24"/>
      <c r="C220" s="24"/>
      <c r="D220" s="24"/>
      <c r="E220" s="24"/>
      <c r="F220" s="24"/>
      <c r="G220" s="24"/>
      <c r="H220" s="24"/>
      <c r="I220" s="38">
        <f>J215+J216+J217+J218</f>
        <v>1119.74</v>
      </c>
      <c r="J220" s="38"/>
      <c r="K220" s="25">
        <f>IF(Source!I126&lt;&gt;0, ROUND(I220/Source!I126, 2), 0)</f>
        <v>22394.799999999999</v>
      </c>
      <c r="P220" s="23">
        <f>I220</f>
        <v>1119.74</v>
      </c>
    </row>
    <row r="221" spans="1:22" ht="42.75" x14ac:dyDescent="0.2">
      <c r="A221" s="18">
        <v>23</v>
      </c>
      <c r="B221" s="18" t="str">
        <f>Source!F127</f>
        <v>1.15-2101-1-1/1</v>
      </c>
      <c r="C221" s="18" t="str">
        <f>Source!G127</f>
        <v>Осмотр магистральных неизолированных внутренних трубопроводов диаметром до 100 мм</v>
      </c>
      <c r="D221" s="19" t="str">
        <f>Source!H127</f>
        <v>100 м</v>
      </c>
      <c r="E221" s="9">
        <f>Source!I127</f>
        <v>5.3499999999999999E-2</v>
      </c>
      <c r="F221" s="21"/>
      <c r="G221" s="20"/>
      <c r="H221" s="9"/>
      <c r="I221" s="9"/>
      <c r="J221" s="21"/>
      <c r="K221" s="21"/>
      <c r="Q221">
        <f>ROUND((Source!BZ127/100)*ROUND((Source!AF127*Source!AV127)*Source!I127, 2), 2)</f>
        <v>65.11</v>
      </c>
      <c r="R221">
        <f>Source!X127</f>
        <v>65.11</v>
      </c>
      <c r="S221">
        <f>ROUND((Source!CA127/100)*ROUND((Source!AF127*Source!AV127)*Source!I127, 2), 2)</f>
        <v>9.3000000000000007</v>
      </c>
      <c r="T221">
        <f>Source!Y127</f>
        <v>9.3000000000000007</v>
      </c>
      <c r="U221">
        <f>ROUND((175/100)*ROUND((Source!AE127*Source!AV127)*Source!I127, 2), 2)</f>
        <v>0</v>
      </c>
      <c r="V221">
        <f>ROUND((108/100)*ROUND(Source!CS127*Source!I127, 2), 2)</f>
        <v>0</v>
      </c>
    </row>
    <row r="222" spans="1:22" x14ac:dyDescent="0.2">
      <c r="C222" s="22" t="str">
        <f>"Объем: "&amp;Source!I127&amp;"=(214)*"&amp;"0,25*"&amp;"0,1/"&amp;"100"</f>
        <v>Объем: 0,0535=(214)*0,25*0,1/100</v>
      </c>
    </row>
    <row r="223" spans="1:22" ht="14.25" x14ac:dyDescent="0.2">
      <c r="A223" s="18"/>
      <c r="B223" s="18"/>
      <c r="C223" s="18" t="s">
        <v>641</v>
      </c>
      <c r="D223" s="19"/>
      <c r="E223" s="9"/>
      <c r="F223" s="21">
        <f>Source!AO127</f>
        <v>434.63</v>
      </c>
      <c r="G223" s="20" t="str">
        <f>Source!DG127</f>
        <v>)*4</v>
      </c>
      <c r="H223" s="9">
        <f>Source!AV127</f>
        <v>1</v>
      </c>
      <c r="I223" s="9">
        <f>IF(Source!BA127&lt;&gt; 0, Source!BA127, 1)</f>
        <v>1</v>
      </c>
      <c r="J223" s="21">
        <f>Source!S127</f>
        <v>93.01</v>
      </c>
      <c r="K223" s="21"/>
    </row>
    <row r="224" spans="1:22" ht="14.25" x14ac:dyDescent="0.2">
      <c r="A224" s="18"/>
      <c r="B224" s="18"/>
      <c r="C224" s="18" t="s">
        <v>642</v>
      </c>
      <c r="D224" s="19" t="s">
        <v>643</v>
      </c>
      <c r="E224" s="9">
        <f>Source!AT127</f>
        <v>70</v>
      </c>
      <c r="F224" s="21"/>
      <c r="G224" s="20"/>
      <c r="H224" s="9"/>
      <c r="I224" s="9"/>
      <c r="J224" s="21">
        <f>SUM(R221:R223)</f>
        <v>65.11</v>
      </c>
      <c r="K224" s="21"/>
    </row>
    <row r="225" spans="1:22" ht="14.25" x14ac:dyDescent="0.2">
      <c r="A225" s="18"/>
      <c r="B225" s="18"/>
      <c r="C225" s="18" t="s">
        <v>644</v>
      </c>
      <c r="D225" s="19" t="s">
        <v>643</v>
      </c>
      <c r="E225" s="9">
        <f>Source!AU127</f>
        <v>10</v>
      </c>
      <c r="F225" s="21"/>
      <c r="G225" s="20"/>
      <c r="H225" s="9"/>
      <c r="I225" s="9"/>
      <c r="J225" s="21">
        <f>SUM(T221:T224)</f>
        <v>9.3000000000000007</v>
      </c>
      <c r="K225" s="21"/>
    </row>
    <row r="226" spans="1:22" ht="14.25" x14ac:dyDescent="0.2">
      <c r="A226" s="18"/>
      <c r="B226" s="18"/>
      <c r="C226" s="18" t="s">
        <v>645</v>
      </c>
      <c r="D226" s="19" t="s">
        <v>646</v>
      </c>
      <c r="E226" s="9">
        <f>Source!AQ127</f>
        <v>0.9</v>
      </c>
      <c r="F226" s="21"/>
      <c r="G226" s="20" t="str">
        <f>Source!DI127</f>
        <v>)*4</v>
      </c>
      <c r="H226" s="9">
        <f>Source!AV127</f>
        <v>1</v>
      </c>
      <c r="I226" s="9"/>
      <c r="J226" s="21"/>
      <c r="K226" s="21">
        <f>Source!U127</f>
        <v>0.19259999999999999</v>
      </c>
    </row>
    <row r="227" spans="1:22" ht="15" x14ac:dyDescent="0.25">
      <c r="A227" s="24"/>
      <c r="B227" s="24"/>
      <c r="C227" s="24"/>
      <c r="D227" s="24"/>
      <c r="E227" s="24"/>
      <c r="F227" s="24"/>
      <c r="G227" s="24"/>
      <c r="H227" s="24"/>
      <c r="I227" s="38">
        <f>J223+J224+J225</f>
        <v>167.42000000000002</v>
      </c>
      <c r="J227" s="38"/>
      <c r="K227" s="25">
        <f>IF(Source!I127&lt;&gt;0, ROUND(I227/Source!I127, 2), 0)</f>
        <v>3129.35</v>
      </c>
      <c r="P227" s="23">
        <f>I227</f>
        <v>167.42000000000002</v>
      </c>
    </row>
    <row r="228" spans="1:22" ht="57" x14ac:dyDescent="0.2">
      <c r="A228" s="18">
        <v>24</v>
      </c>
      <c r="B228" s="18" t="str">
        <f>Source!F128</f>
        <v>1.15-2101-2-1/1</v>
      </c>
      <c r="C228" s="18" t="str">
        <f>Source!G128</f>
        <v>Осмотр магистральных неизолированных внутренних трубопроводов диаметром до 100 мм с лестниц</v>
      </c>
      <c r="D228" s="19" t="str">
        <f>Source!H128</f>
        <v>100 м</v>
      </c>
      <c r="E228" s="9">
        <f>Source!I128</f>
        <v>0.1605</v>
      </c>
      <c r="F228" s="21"/>
      <c r="G228" s="20"/>
      <c r="H228" s="9"/>
      <c r="I228" s="9"/>
      <c r="J228" s="21"/>
      <c r="K228" s="21"/>
      <c r="Q228">
        <f>ROUND((Source!BZ128/100)*ROUND((Source!AF128*Source!AV128)*Source!I128, 2), 2)</f>
        <v>572.94000000000005</v>
      </c>
      <c r="R228">
        <f>Source!X128</f>
        <v>572.94000000000005</v>
      </c>
      <c r="S228">
        <f>ROUND((Source!CA128/100)*ROUND((Source!AF128*Source!AV128)*Source!I128, 2), 2)</f>
        <v>81.849999999999994</v>
      </c>
      <c r="T228">
        <f>Source!Y128</f>
        <v>81.849999999999994</v>
      </c>
      <c r="U228">
        <f>ROUND((175/100)*ROUND((Source!AE128*Source!AV128)*Source!I128, 2), 2)</f>
        <v>0</v>
      </c>
      <c r="V228">
        <f>ROUND((108/100)*ROUND(Source!CS128*Source!I128, 2), 2)</f>
        <v>0</v>
      </c>
    </row>
    <row r="229" spans="1:22" x14ac:dyDescent="0.2">
      <c r="C229" s="22" t="str">
        <f>"Объем: "&amp;Source!I128&amp;"=(214)*"&amp;"0,75*"&amp;"0,1/"&amp;"100"</f>
        <v>Объем: 0,1605=(214)*0,75*0,1/100</v>
      </c>
    </row>
    <row r="230" spans="1:22" ht="14.25" x14ac:dyDescent="0.2">
      <c r="A230" s="18"/>
      <c r="B230" s="18"/>
      <c r="C230" s="18" t="s">
        <v>641</v>
      </c>
      <c r="D230" s="19"/>
      <c r="E230" s="9"/>
      <c r="F230" s="21">
        <f>Source!AO128</f>
        <v>1274.9000000000001</v>
      </c>
      <c r="G230" s="20" t="str">
        <f>Source!DG128</f>
        <v>)*4</v>
      </c>
      <c r="H230" s="9">
        <f>Source!AV128</f>
        <v>1</v>
      </c>
      <c r="I230" s="9">
        <f>IF(Source!BA128&lt;&gt; 0, Source!BA128, 1)</f>
        <v>1</v>
      </c>
      <c r="J230" s="21">
        <f>Source!S128</f>
        <v>818.49</v>
      </c>
      <c r="K230" s="21"/>
    </row>
    <row r="231" spans="1:22" ht="14.25" x14ac:dyDescent="0.2">
      <c r="A231" s="18"/>
      <c r="B231" s="18"/>
      <c r="C231" s="18" t="s">
        <v>642</v>
      </c>
      <c r="D231" s="19" t="s">
        <v>643</v>
      </c>
      <c r="E231" s="9">
        <f>Source!AT128</f>
        <v>70</v>
      </c>
      <c r="F231" s="21"/>
      <c r="G231" s="20"/>
      <c r="H231" s="9"/>
      <c r="I231" s="9"/>
      <c r="J231" s="21">
        <f>SUM(R228:R230)</f>
        <v>572.94000000000005</v>
      </c>
      <c r="K231" s="21"/>
    </row>
    <row r="232" spans="1:22" ht="14.25" x14ac:dyDescent="0.2">
      <c r="A232" s="18"/>
      <c r="B232" s="18"/>
      <c r="C232" s="18" t="s">
        <v>644</v>
      </c>
      <c r="D232" s="19" t="s">
        <v>643</v>
      </c>
      <c r="E232" s="9">
        <f>Source!AU128</f>
        <v>10</v>
      </c>
      <c r="F232" s="21"/>
      <c r="G232" s="20"/>
      <c r="H232" s="9"/>
      <c r="I232" s="9"/>
      <c r="J232" s="21">
        <f>SUM(T228:T231)</f>
        <v>81.849999999999994</v>
      </c>
      <c r="K232" s="21"/>
    </row>
    <row r="233" spans="1:22" ht="14.25" x14ac:dyDescent="0.2">
      <c r="A233" s="18"/>
      <c r="B233" s="18"/>
      <c r="C233" s="18" t="s">
        <v>645</v>
      </c>
      <c r="D233" s="19" t="s">
        <v>646</v>
      </c>
      <c r="E233" s="9">
        <f>Source!AQ128</f>
        <v>2.64</v>
      </c>
      <c r="F233" s="21"/>
      <c r="G233" s="20" t="str">
        <f>Source!DI128</f>
        <v>)*4</v>
      </c>
      <c r="H233" s="9">
        <f>Source!AV128</f>
        <v>1</v>
      </c>
      <c r="I233" s="9"/>
      <c r="J233" s="21"/>
      <c r="K233" s="21">
        <f>Source!U128</f>
        <v>1.6948800000000002</v>
      </c>
    </row>
    <row r="234" spans="1:22" ht="15" x14ac:dyDescent="0.25">
      <c r="A234" s="24"/>
      <c r="B234" s="24"/>
      <c r="C234" s="24"/>
      <c r="D234" s="24"/>
      <c r="E234" s="24"/>
      <c r="F234" s="24"/>
      <c r="G234" s="24"/>
      <c r="H234" s="24"/>
      <c r="I234" s="38">
        <f>J230+J231+J232</f>
        <v>1473.28</v>
      </c>
      <c r="J234" s="38"/>
      <c r="K234" s="25">
        <f>IF(Source!I128&lt;&gt;0, ROUND(I234/Source!I128, 2), 0)</f>
        <v>9179.31</v>
      </c>
      <c r="P234" s="23">
        <f>I234</f>
        <v>1473.28</v>
      </c>
    </row>
    <row r="235" spans="1:22" ht="28.5" x14ac:dyDescent="0.2">
      <c r="A235" s="18">
        <v>25</v>
      </c>
      <c r="B235" s="18" t="str">
        <f>Source!F130</f>
        <v>1.16-2203-1-1/1</v>
      </c>
      <c r="C235" s="18" t="str">
        <f>Source!G130</f>
        <v>Прочистка сифонов / умывальники, раковины,  писсуары</v>
      </c>
      <c r="D235" s="19" t="str">
        <f>Source!H130</f>
        <v>100 шт.</v>
      </c>
      <c r="E235" s="9">
        <f>Source!I130</f>
        <v>0.27</v>
      </c>
      <c r="F235" s="21"/>
      <c r="G235" s="20"/>
      <c r="H235" s="9"/>
      <c r="I235" s="9"/>
      <c r="J235" s="21"/>
      <c r="K235" s="21"/>
      <c r="Q235">
        <f>ROUND((Source!BZ130/100)*ROUND((Source!AF130*Source!AV130)*Source!I130, 2), 2)</f>
        <v>2305.73</v>
      </c>
      <c r="R235">
        <f>Source!X130</f>
        <v>2305.73</v>
      </c>
      <c r="S235">
        <f>ROUND((Source!CA130/100)*ROUND((Source!AF130*Source!AV130)*Source!I130, 2), 2)</f>
        <v>329.39</v>
      </c>
      <c r="T235">
        <f>Source!Y130</f>
        <v>329.39</v>
      </c>
      <c r="U235">
        <f>ROUND((175/100)*ROUND((Source!AE130*Source!AV130)*Source!I130, 2), 2)</f>
        <v>0</v>
      </c>
      <c r="V235">
        <f>ROUND((108/100)*ROUND(Source!CS130*Source!I130, 2), 2)</f>
        <v>0</v>
      </c>
    </row>
    <row r="236" spans="1:22" x14ac:dyDescent="0.2">
      <c r="C236" s="22" t="str">
        <f>"Объем: "&amp;Source!I130&amp;"=27/"&amp;"100"</f>
        <v>Объем: 0,27=27/100</v>
      </c>
    </row>
    <row r="237" spans="1:22" ht="14.25" x14ac:dyDescent="0.2">
      <c r="A237" s="18"/>
      <c r="B237" s="18"/>
      <c r="C237" s="18" t="s">
        <v>641</v>
      </c>
      <c r="D237" s="19"/>
      <c r="E237" s="9"/>
      <c r="F237" s="21">
        <f>Source!AO130</f>
        <v>12199.63</v>
      </c>
      <c r="G237" s="20" t="str">
        <f>Source!DG130</f>
        <v/>
      </c>
      <c r="H237" s="9">
        <f>Source!AV130</f>
        <v>1</v>
      </c>
      <c r="I237" s="9">
        <f>IF(Source!BA130&lt;&gt; 0, Source!BA130, 1)</f>
        <v>1</v>
      </c>
      <c r="J237" s="21">
        <f>Source!S130</f>
        <v>3293.9</v>
      </c>
      <c r="K237" s="21"/>
    </row>
    <row r="238" spans="1:22" ht="14.25" x14ac:dyDescent="0.2">
      <c r="A238" s="18"/>
      <c r="B238" s="18"/>
      <c r="C238" s="18" t="s">
        <v>649</v>
      </c>
      <c r="D238" s="19"/>
      <c r="E238" s="9"/>
      <c r="F238" s="21">
        <f>Source!AL130</f>
        <v>435.34</v>
      </c>
      <c r="G238" s="20" t="str">
        <f>Source!DD130</f>
        <v/>
      </c>
      <c r="H238" s="9">
        <f>Source!AW130</f>
        <v>1</v>
      </c>
      <c r="I238" s="9">
        <f>IF(Source!BC130&lt;&gt; 0, Source!BC130, 1)</f>
        <v>1</v>
      </c>
      <c r="J238" s="21">
        <f>Source!P130</f>
        <v>117.54</v>
      </c>
      <c r="K238" s="21"/>
    </row>
    <row r="239" spans="1:22" ht="14.25" x14ac:dyDescent="0.2">
      <c r="A239" s="18"/>
      <c r="B239" s="18"/>
      <c r="C239" s="18" t="s">
        <v>642</v>
      </c>
      <c r="D239" s="19" t="s">
        <v>643</v>
      </c>
      <c r="E239" s="9">
        <f>Source!AT130</f>
        <v>70</v>
      </c>
      <c r="F239" s="21"/>
      <c r="G239" s="20"/>
      <c r="H239" s="9"/>
      <c r="I239" s="9"/>
      <c r="J239" s="21">
        <f>SUM(R235:R238)</f>
        <v>2305.73</v>
      </c>
      <c r="K239" s="21"/>
    </row>
    <row r="240" spans="1:22" ht="14.25" x14ac:dyDescent="0.2">
      <c r="A240" s="18"/>
      <c r="B240" s="18"/>
      <c r="C240" s="18" t="s">
        <v>644</v>
      </c>
      <c r="D240" s="19" t="s">
        <v>643</v>
      </c>
      <c r="E240" s="9">
        <f>Source!AU130</f>
        <v>10</v>
      </c>
      <c r="F240" s="21"/>
      <c r="G240" s="20"/>
      <c r="H240" s="9"/>
      <c r="I240" s="9"/>
      <c r="J240" s="21">
        <f>SUM(T235:T239)</f>
        <v>329.39</v>
      </c>
      <c r="K240" s="21"/>
    </row>
    <row r="241" spans="1:22" ht="14.25" x14ac:dyDescent="0.2">
      <c r="A241" s="18"/>
      <c r="B241" s="18"/>
      <c r="C241" s="18" t="s">
        <v>645</v>
      </c>
      <c r="D241" s="19" t="s">
        <v>646</v>
      </c>
      <c r="E241" s="9">
        <f>Source!AQ130</f>
        <v>28.02</v>
      </c>
      <c r="F241" s="21"/>
      <c r="G241" s="20" t="str">
        <f>Source!DI130</f>
        <v/>
      </c>
      <c r="H241" s="9">
        <f>Source!AV130</f>
        <v>1</v>
      </c>
      <c r="I241" s="9"/>
      <c r="J241" s="21"/>
      <c r="K241" s="21">
        <f>Source!U130</f>
        <v>7.5654000000000003</v>
      </c>
    </row>
    <row r="242" spans="1:22" ht="15" x14ac:dyDescent="0.25">
      <c r="A242" s="24"/>
      <c r="B242" s="24"/>
      <c r="C242" s="24"/>
      <c r="D242" s="24"/>
      <c r="E242" s="24"/>
      <c r="F242" s="24"/>
      <c r="G242" s="24"/>
      <c r="H242" s="24"/>
      <c r="I242" s="38">
        <f>J237+J238+J239+J240</f>
        <v>6046.56</v>
      </c>
      <c r="J242" s="38"/>
      <c r="K242" s="25">
        <f>IF(Source!I130&lt;&gt;0, ROUND(I242/Source!I130, 2), 0)</f>
        <v>22394.67</v>
      </c>
      <c r="P242" s="23">
        <f>I242</f>
        <v>6046.56</v>
      </c>
    </row>
    <row r="243" spans="1:22" ht="42.75" x14ac:dyDescent="0.2">
      <c r="A243" s="18">
        <v>26</v>
      </c>
      <c r="B243" s="18" t="str">
        <f>Source!F133</f>
        <v>1.16-2301-1-1/1</v>
      </c>
      <c r="C243" s="18" t="str">
        <f>Source!G133</f>
        <v>Осмотр насоса для сточных вод переносного с полуоткрытым рабочим колесом Грундфос EF</v>
      </c>
      <c r="D243" s="19" t="str">
        <f>Source!H133</f>
        <v>шт.</v>
      </c>
      <c r="E243" s="9">
        <f>Source!I133</f>
        <v>1</v>
      </c>
      <c r="F243" s="21"/>
      <c r="G243" s="20"/>
      <c r="H243" s="9"/>
      <c r="I243" s="9"/>
      <c r="J243" s="21"/>
      <c r="K243" s="21"/>
      <c r="Q243">
        <f>ROUND((Source!BZ133/100)*ROUND((Source!AF133*Source!AV133)*Source!I133, 2), 2)</f>
        <v>407.02</v>
      </c>
      <c r="R243">
        <f>Source!X133</f>
        <v>407.02</v>
      </c>
      <c r="S243">
        <f>ROUND((Source!CA133/100)*ROUND((Source!AF133*Source!AV133)*Source!I133, 2), 2)</f>
        <v>58.15</v>
      </c>
      <c r="T243">
        <f>Source!Y133</f>
        <v>58.15</v>
      </c>
      <c r="U243">
        <f>ROUND((175/100)*ROUND((Source!AE133*Source!AV133)*Source!I133, 2), 2)</f>
        <v>0</v>
      </c>
      <c r="V243">
        <f>ROUND((108/100)*ROUND(Source!CS133*Source!I133, 2), 2)</f>
        <v>0</v>
      </c>
    </row>
    <row r="244" spans="1:22" ht="14.25" x14ac:dyDescent="0.2">
      <c r="A244" s="18"/>
      <c r="B244" s="18"/>
      <c r="C244" s="18" t="s">
        <v>641</v>
      </c>
      <c r="D244" s="19"/>
      <c r="E244" s="9"/>
      <c r="F244" s="21">
        <f>Source!AO133</f>
        <v>193.82</v>
      </c>
      <c r="G244" s="20" t="str">
        <f>Source!DG133</f>
        <v>)*3</v>
      </c>
      <c r="H244" s="9">
        <f>Source!AV133</f>
        <v>1</v>
      </c>
      <c r="I244" s="9">
        <f>IF(Source!BA133&lt;&gt; 0, Source!BA133, 1)</f>
        <v>1</v>
      </c>
      <c r="J244" s="21">
        <f>Source!S133</f>
        <v>581.46</v>
      </c>
      <c r="K244" s="21"/>
    </row>
    <row r="245" spans="1:22" ht="14.25" x14ac:dyDescent="0.2">
      <c r="A245" s="18"/>
      <c r="B245" s="18"/>
      <c r="C245" s="18" t="s">
        <v>642</v>
      </c>
      <c r="D245" s="19" t="s">
        <v>643</v>
      </c>
      <c r="E245" s="9">
        <f>Source!AT133</f>
        <v>70</v>
      </c>
      <c r="F245" s="21"/>
      <c r="G245" s="20"/>
      <c r="H245" s="9"/>
      <c r="I245" s="9"/>
      <c r="J245" s="21">
        <f>SUM(R243:R244)</f>
        <v>407.02</v>
      </c>
      <c r="K245" s="21"/>
    </row>
    <row r="246" spans="1:22" ht="14.25" x14ac:dyDescent="0.2">
      <c r="A246" s="18"/>
      <c r="B246" s="18"/>
      <c r="C246" s="18" t="s">
        <v>644</v>
      </c>
      <c r="D246" s="19" t="s">
        <v>643</v>
      </c>
      <c r="E246" s="9">
        <f>Source!AU133</f>
        <v>10</v>
      </c>
      <c r="F246" s="21"/>
      <c r="G246" s="20"/>
      <c r="H246" s="9"/>
      <c r="I246" s="9"/>
      <c r="J246" s="21">
        <f>SUM(T243:T245)</f>
        <v>58.15</v>
      </c>
      <c r="K246" s="21"/>
    </row>
    <row r="247" spans="1:22" ht="14.25" x14ac:dyDescent="0.2">
      <c r="A247" s="18"/>
      <c r="B247" s="18"/>
      <c r="C247" s="18" t="s">
        <v>645</v>
      </c>
      <c r="D247" s="19" t="s">
        <v>646</v>
      </c>
      <c r="E247" s="9">
        <f>Source!AQ133</f>
        <v>0.34</v>
      </c>
      <c r="F247" s="21"/>
      <c r="G247" s="20" t="str">
        <f>Source!DI133</f>
        <v>)*3</v>
      </c>
      <c r="H247" s="9">
        <f>Source!AV133</f>
        <v>1</v>
      </c>
      <c r="I247" s="9"/>
      <c r="J247" s="21"/>
      <c r="K247" s="21">
        <f>Source!U133</f>
        <v>1.02</v>
      </c>
    </row>
    <row r="248" spans="1:22" ht="15" x14ac:dyDescent="0.25">
      <c r="A248" s="24"/>
      <c r="B248" s="24"/>
      <c r="C248" s="24"/>
      <c r="D248" s="24"/>
      <c r="E248" s="24"/>
      <c r="F248" s="24"/>
      <c r="G248" s="24"/>
      <c r="H248" s="24"/>
      <c r="I248" s="38">
        <f>J244+J245+J246</f>
        <v>1046.6300000000001</v>
      </c>
      <c r="J248" s="38"/>
      <c r="K248" s="25">
        <f>IF(Source!I133&lt;&gt;0, ROUND(I248/Source!I133, 2), 0)</f>
        <v>1046.6300000000001</v>
      </c>
      <c r="P248" s="23">
        <f>I248</f>
        <v>1046.6300000000001</v>
      </c>
    </row>
    <row r="249" spans="1:22" ht="57" x14ac:dyDescent="0.2">
      <c r="A249" s="18">
        <v>27</v>
      </c>
      <c r="B249" s="18" t="str">
        <f>Source!F134</f>
        <v>1.16-2303-2-1/1</v>
      </c>
      <c r="C249" s="18" t="str">
        <f>Source!G134</f>
        <v>Техническое обслуживание насоса для сточных вод переносного с полуоткрытым рабочим колесом Грундфос EF / сололифт</v>
      </c>
      <c r="D249" s="19" t="str">
        <f>Source!H134</f>
        <v>шт.</v>
      </c>
      <c r="E249" s="9">
        <f>Source!I134</f>
        <v>1</v>
      </c>
      <c r="F249" s="21"/>
      <c r="G249" s="20"/>
      <c r="H249" s="9"/>
      <c r="I249" s="9"/>
      <c r="J249" s="21"/>
      <c r="K249" s="21"/>
      <c r="Q249">
        <f>ROUND((Source!BZ134/100)*ROUND((Source!AF134*Source!AV134)*Source!I134, 2), 2)</f>
        <v>1995.13</v>
      </c>
      <c r="R249">
        <f>Source!X134</f>
        <v>1995.13</v>
      </c>
      <c r="S249">
        <f>ROUND((Source!CA134/100)*ROUND((Source!AF134*Source!AV134)*Source!I134, 2), 2)</f>
        <v>285.02</v>
      </c>
      <c r="T249">
        <f>Source!Y134</f>
        <v>285.02</v>
      </c>
      <c r="U249">
        <f>ROUND((175/100)*ROUND((Source!AE134*Source!AV134)*Source!I134, 2), 2)</f>
        <v>0</v>
      </c>
      <c r="V249">
        <f>ROUND((108/100)*ROUND(Source!CS134*Source!I134, 2), 2)</f>
        <v>0</v>
      </c>
    </row>
    <row r="250" spans="1:22" ht="14.25" x14ac:dyDescent="0.2">
      <c r="A250" s="18"/>
      <c r="B250" s="18"/>
      <c r="C250" s="18" t="s">
        <v>641</v>
      </c>
      <c r="D250" s="19"/>
      <c r="E250" s="9"/>
      <c r="F250" s="21">
        <f>Source!AO134</f>
        <v>2850.18</v>
      </c>
      <c r="G250" s="20" t="str">
        <f>Source!DG134</f>
        <v/>
      </c>
      <c r="H250" s="9">
        <f>Source!AV134</f>
        <v>1</v>
      </c>
      <c r="I250" s="9">
        <f>IF(Source!BA134&lt;&gt; 0, Source!BA134, 1)</f>
        <v>1</v>
      </c>
      <c r="J250" s="21">
        <f>Source!S134</f>
        <v>2850.18</v>
      </c>
      <c r="K250" s="21"/>
    </row>
    <row r="251" spans="1:22" ht="14.25" x14ac:dyDescent="0.2">
      <c r="A251" s="18"/>
      <c r="B251" s="18"/>
      <c r="C251" s="18" t="s">
        <v>649</v>
      </c>
      <c r="D251" s="19"/>
      <c r="E251" s="9"/>
      <c r="F251" s="21">
        <f>Source!AL134</f>
        <v>105.21</v>
      </c>
      <c r="G251" s="20" t="str">
        <f>Source!DD134</f>
        <v/>
      </c>
      <c r="H251" s="9">
        <f>Source!AW134</f>
        <v>1</v>
      </c>
      <c r="I251" s="9">
        <f>IF(Source!BC134&lt;&gt; 0, Source!BC134, 1)</f>
        <v>1</v>
      </c>
      <c r="J251" s="21">
        <f>Source!P134</f>
        <v>105.21</v>
      </c>
      <c r="K251" s="21"/>
    </row>
    <row r="252" spans="1:22" ht="14.25" x14ac:dyDescent="0.2">
      <c r="A252" s="18"/>
      <c r="B252" s="18"/>
      <c r="C252" s="18" t="s">
        <v>642</v>
      </c>
      <c r="D252" s="19" t="s">
        <v>643</v>
      </c>
      <c r="E252" s="9">
        <f>Source!AT134</f>
        <v>70</v>
      </c>
      <c r="F252" s="21"/>
      <c r="G252" s="20"/>
      <c r="H252" s="9"/>
      <c r="I252" s="9"/>
      <c r="J252" s="21">
        <f>SUM(R249:R251)</f>
        <v>1995.13</v>
      </c>
      <c r="K252" s="21"/>
    </row>
    <row r="253" spans="1:22" ht="14.25" x14ac:dyDescent="0.2">
      <c r="A253" s="18"/>
      <c r="B253" s="18"/>
      <c r="C253" s="18" t="s">
        <v>644</v>
      </c>
      <c r="D253" s="19" t="s">
        <v>643</v>
      </c>
      <c r="E253" s="9">
        <f>Source!AU134</f>
        <v>10</v>
      </c>
      <c r="F253" s="21"/>
      <c r="G253" s="20"/>
      <c r="H253" s="9"/>
      <c r="I253" s="9"/>
      <c r="J253" s="21">
        <f>SUM(T249:T252)</f>
        <v>285.02</v>
      </c>
      <c r="K253" s="21"/>
    </row>
    <row r="254" spans="1:22" ht="14.25" x14ac:dyDescent="0.2">
      <c r="A254" s="18"/>
      <c r="B254" s="18"/>
      <c r="C254" s="18" t="s">
        <v>645</v>
      </c>
      <c r="D254" s="19" t="s">
        <v>646</v>
      </c>
      <c r="E254" s="9">
        <f>Source!AQ134</f>
        <v>5</v>
      </c>
      <c r="F254" s="21"/>
      <c r="G254" s="20" t="str">
        <f>Source!DI134</f>
        <v/>
      </c>
      <c r="H254" s="9">
        <f>Source!AV134</f>
        <v>1</v>
      </c>
      <c r="I254" s="9"/>
      <c r="J254" s="21"/>
      <c r="K254" s="21">
        <f>Source!U134</f>
        <v>5</v>
      </c>
    </row>
    <row r="255" spans="1:22" ht="15" x14ac:dyDescent="0.25">
      <c r="A255" s="24"/>
      <c r="B255" s="24"/>
      <c r="C255" s="24"/>
      <c r="D255" s="24"/>
      <c r="E255" s="24"/>
      <c r="F255" s="24"/>
      <c r="G255" s="24"/>
      <c r="H255" s="24"/>
      <c r="I255" s="38">
        <f>J250+J251+J252+J253</f>
        <v>5235.5400000000009</v>
      </c>
      <c r="J255" s="38"/>
      <c r="K255" s="25">
        <f>IF(Source!I134&lt;&gt;0, ROUND(I255/Source!I134, 2), 0)</f>
        <v>5235.54</v>
      </c>
      <c r="P255" s="23">
        <f>I255</f>
        <v>5235.5400000000009</v>
      </c>
    </row>
    <row r="257" spans="1:22" ht="15" x14ac:dyDescent="0.25">
      <c r="A257" s="36" t="str">
        <f>CONCATENATE("Итого по разделу: ",IF(Source!G136&lt;&gt;"Новый раздел", Source!G136, ""))</f>
        <v>Итого по разделу: Система водоотведения</v>
      </c>
      <c r="B257" s="36"/>
      <c r="C257" s="36"/>
      <c r="D257" s="36"/>
      <c r="E257" s="36"/>
      <c r="F257" s="36"/>
      <c r="G257" s="36"/>
      <c r="H257" s="36"/>
      <c r="I257" s="34">
        <f>SUM(P169:P256)</f>
        <v>77345.540000000008</v>
      </c>
      <c r="J257" s="35"/>
      <c r="K257" s="28"/>
    </row>
    <row r="260" spans="1:22" ht="16.5" x14ac:dyDescent="0.25">
      <c r="A260" s="37" t="str">
        <f>CONCATENATE("Раздел: ",IF(Source!G166&lt;&gt;"Новый раздел", Source!G166, ""))</f>
        <v>Раздел: Электроосвещение</v>
      </c>
      <c r="B260" s="37"/>
      <c r="C260" s="37"/>
      <c r="D260" s="37"/>
      <c r="E260" s="37"/>
      <c r="F260" s="37"/>
      <c r="G260" s="37"/>
      <c r="H260" s="37"/>
      <c r="I260" s="37"/>
      <c r="J260" s="37"/>
      <c r="K260" s="37"/>
    </row>
    <row r="261" spans="1:22" ht="42.75" x14ac:dyDescent="0.2">
      <c r="A261" s="18">
        <v>28</v>
      </c>
      <c r="B261" s="18" t="str">
        <f>Source!F170</f>
        <v>1.21-2201-28-3/1</v>
      </c>
      <c r="C261" s="18" t="str">
        <f>Source!G170</f>
        <v>Технический осмотр главного распределительного щита (ГРЩ) с количеством вводов 2 - ежедневный</v>
      </c>
      <c r="D261" s="19" t="str">
        <f>Source!H170</f>
        <v>шт.</v>
      </c>
      <c r="E261" s="9">
        <f>Source!I170</f>
        <v>4</v>
      </c>
      <c r="F261" s="21"/>
      <c r="G261" s="20"/>
      <c r="H261" s="9"/>
      <c r="I261" s="9"/>
      <c r="J261" s="21"/>
      <c r="K261" s="21"/>
      <c r="Q261">
        <f>ROUND((Source!BZ170/100)*ROUND((Source!AF170*Source!AV170)*Source!I170, 2), 2)</f>
        <v>35052.14</v>
      </c>
      <c r="R261">
        <f>Source!X170</f>
        <v>35052.14</v>
      </c>
      <c r="S261">
        <f>ROUND((Source!CA170/100)*ROUND((Source!AF170*Source!AV170)*Source!I170, 2), 2)</f>
        <v>5007.45</v>
      </c>
      <c r="T261">
        <f>Source!Y170</f>
        <v>5007.45</v>
      </c>
      <c r="U261">
        <f>ROUND((175/100)*ROUND((Source!AE170*Source!AV170)*Source!I170, 2), 2)</f>
        <v>0</v>
      </c>
      <c r="V261">
        <f>ROUND((108/100)*ROUND(Source!CS170*Source!I170, 2), 2)</f>
        <v>0</v>
      </c>
    </row>
    <row r="262" spans="1:22" ht="14.25" x14ac:dyDescent="0.2">
      <c r="A262" s="18"/>
      <c r="B262" s="18"/>
      <c r="C262" s="18" t="s">
        <v>641</v>
      </c>
      <c r="D262" s="19"/>
      <c r="E262" s="9"/>
      <c r="F262" s="21">
        <f>Source!AO170</f>
        <v>106.09</v>
      </c>
      <c r="G262" s="20" t="str">
        <f>Source!DG170</f>
        <v>)*118</v>
      </c>
      <c r="H262" s="9">
        <f>Source!AV170</f>
        <v>1</v>
      </c>
      <c r="I262" s="9">
        <f>IF(Source!BA170&lt;&gt; 0, Source!BA170, 1)</f>
        <v>1</v>
      </c>
      <c r="J262" s="21">
        <f>Source!S170</f>
        <v>50074.48</v>
      </c>
      <c r="K262" s="21"/>
    </row>
    <row r="263" spans="1:22" ht="14.25" x14ac:dyDescent="0.2">
      <c r="A263" s="18"/>
      <c r="B263" s="18"/>
      <c r="C263" s="18" t="s">
        <v>642</v>
      </c>
      <c r="D263" s="19" t="s">
        <v>643</v>
      </c>
      <c r="E263" s="9">
        <f>Source!AT170</f>
        <v>70</v>
      </c>
      <c r="F263" s="21"/>
      <c r="G263" s="20"/>
      <c r="H263" s="9"/>
      <c r="I263" s="9"/>
      <c r="J263" s="21">
        <f>SUM(R261:R262)</f>
        <v>35052.14</v>
      </c>
      <c r="K263" s="21"/>
    </row>
    <row r="264" spans="1:22" ht="14.25" x14ac:dyDescent="0.2">
      <c r="A264" s="18"/>
      <c r="B264" s="18"/>
      <c r="C264" s="18" t="s">
        <v>644</v>
      </c>
      <c r="D264" s="19" t="s">
        <v>643</v>
      </c>
      <c r="E264" s="9">
        <f>Source!AU170</f>
        <v>10</v>
      </c>
      <c r="F264" s="21"/>
      <c r="G264" s="20"/>
      <c r="H264" s="9"/>
      <c r="I264" s="9"/>
      <c r="J264" s="21">
        <f>SUM(T261:T263)</f>
        <v>5007.45</v>
      </c>
      <c r="K264" s="21"/>
    </row>
    <row r="265" spans="1:22" ht="14.25" x14ac:dyDescent="0.2">
      <c r="A265" s="18"/>
      <c r="B265" s="18"/>
      <c r="C265" s="18" t="s">
        <v>645</v>
      </c>
      <c r="D265" s="19" t="s">
        <v>646</v>
      </c>
      <c r="E265" s="9">
        <f>Source!AQ170</f>
        <v>0.2</v>
      </c>
      <c r="F265" s="21"/>
      <c r="G265" s="20" t="str">
        <f>Source!DI170</f>
        <v>)*118</v>
      </c>
      <c r="H265" s="9">
        <f>Source!AV170</f>
        <v>1</v>
      </c>
      <c r="I265" s="9"/>
      <c r="J265" s="21"/>
      <c r="K265" s="21">
        <f>Source!U170</f>
        <v>94.4</v>
      </c>
    </row>
    <row r="266" spans="1:22" ht="15" x14ac:dyDescent="0.25">
      <c r="A266" s="24"/>
      <c r="B266" s="24"/>
      <c r="C266" s="24"/>
      <c r="D266" s="24"/>
      <c r="E266" s="24"/>
      <c r="F266" s="24"/>
      <c r="G266" s="24"/>
      <c r="H266" s="24"/>
      <c r="I266" s="38">
        <f>J262+J263+J264</f>
        <v>90134.069999999992</v>
      </c>
      <c r="J266" s="38"/>
      <c r="K266" s="25">
        <f>IF(Source!I170&lt;&gt;0, ROUND(I266/Source!I170, 2), 0)</f>
        <v>22533.52</v>
      </c>
      <c r="P266" s="23">
        <f>I266</f>
        <v>90134.069999999992</v>
      </c>
    </row>
    <row r="267" spans="1:22" ht="42.75" x14ac:dyDescent="0.2">
      <c r="A267" s="18">
        <v>29</v>
      </c>
      <c r="B267" s="18" t="str">
        <f>Source!F171</f>
        <v>1.21-2201-28-4/1</v>
      </c>
      <c r="C267" s="18" t="str">
        <f>Source!G171</f>
        <v>Технический осмотр главного распределительного щита (ГРЩ) с количеством вводов 2 - ежемесячный</v>
      </c>
      <c r="D267" s="19" t="str">
        <f>Source!H171</f>
        <v>шт.</v>
      </c>
      <c r="E267" s="9">
        <f>Source!I171</f>
        <v>4</v>
      </c>
      <c r="F267" s="21"/>
      <c r="G267" s="20"/>
      <c r="H267" s="9"/>
      <c r="I267" s="9"/>
      <c r="J267" s="21"/>
      <c r="K267" s="21"/>
      <c r="Q267">
        <f>ROUND((Source!BZ171/100)*ROUND((Source!AF171*Source!AV171)*Source!I171, 2), 2)</f>
        <v>2198.2199999999998</v>
      </c>
      <c r="R267">
        <f>Source!X171</f>
        <v>2198.2199999999998</v>
      </c>
      <c r="S267">
        <f>ROUND((Source!CA171/100)*ROUND((Source!AF171*Source!AV171)*Source!I171, 2), 2)</f>
        <v>314.02999999999997</v>
      </c>
      <c r="T267">
        <f>Source!Y171</f>
        <v>314.02999999999997</v>
      </c>
      <c r="U267">
        <f>ROUND((175/100)*ROUND((Source!AE171*Source!AV171)*Source!I171, 2), 2)</f>
        <v>0</v>
      </c>
      <c r="V267">
        <f>ROUND((108/100)*ROUND(Source!CS171*Source!I171, 2), 2)</f>
        <v>0</v>
      </c>
    </row>
    <row r="268" spans="1:22" ht="14.25" x14ac:dyDescent="0.2">
      <c r="A268" s="18"/>
      <c r="B268" s="18"/>
      <c r="C268" s="18" t="s">
        <v>641</v>
      </c>
      <c r="D268" s="19"/>
      <c r="E268" s="9"/>
      <c r="F268" s="21">
        <f>Source!AO171</f>
        <v>196.27</v>
      </c>
      <c r="G268" s="20" t="str">
        <f>Source!DG171</f>
        <v>)*4</v>
      </c>
      <c r="H268" s="9">
        <f>Source!AV171</f>
        <v>1</v>
      </c>
      <c r="I268" s="9">
        <f>IF(Source!BA171&lt;&gt; 0, Source!BA171, 1)</f>
        <v>1</v>
      </c>
      <c r="J268" s="21">
        <f>Source!S171</f>
        <v>3140.32</v>
      </c>
      <c r="K268" s="21"/>
    </row>
    <row r="269" spans="1:22" ht="14.25" x14ac:dyDescent="0.2">
      <c r="A269" s="18"/>
      <c r="B269" s="18"/>
      <c r="C269" s="18" t="s">
        <v>642</v>
      </c>
      <c r="D269" s="19" t="s">
        <v>643</v>
      </c>
      <c r="E269" s="9">
        <f>Source!AT171</f>
        <v>70</v>
      </c>
      <c r="F269" s="21"/>
      <c r="G269" s="20"/>
      <c r="H269" s="9"/>
      <c r="I269" s="9"/>
      <c r="J269" s="21">
        <f>SUM(R267:R268)</f>
        <v>2198.2199999999998</v>
      </c>
      <c r="K269" s="21"/>
    </row>
    <row r="270" spans="1:22" ht="14.25" x14ac:dyDescent="0.2">
      <c r="A270" s="18"/>
      <c r="B270" s="18"/>
      <c r="C270" s="18" t="s">
        <v>644</v>
      </c>
      <c r="D270" s="19" t="s">
        <v>643</v>
      </c>
      <c r="E270" s="9">
        <f>Source!AU171</f>
        <v>10</v>
      </c>
      <c r="F270" s="21"/>
      <c r="G270" s="20"/>
      <c r="H270" s="9"/>
      <c r="I270" s="9"/>
      <c r="J270" s="21">
        <f>SUM(T267:T269)</f>
        <v>314.02999999999997</v>
      </c>
      <c r="K270" s="21"/>
    </row>
    <row r="271" spans="1:22" ht="14.25" x14ac:dyDescent="0.2">
      <c r="A271" s="18"/>
      <c r="B271" s="18"/>
      <c r="C271" s="18" t="s">
        <v>645</v>
      </c>
      <c r="D271" s="19" t="s">
        <v>646</v>
      </c>
      <c r="E271" s="9">
        <f>Source!AQ171</f>
        <v>0.37</v>
      </c>
      <c r="F271" s="21"/>
      <c r="G271" s="20" t="str">
        <f>Source!DI171</f>
        <v>)*4</v>
      </c>
      <c r="H271" s="9">
        <f>Source!AV171</f>
        <v>1</v>
      </c>
      <c r="I271" s="9"/>
      <c r="J271" s="21"/>
      <c r="K271" s="21">
        <f>Source!U171</f>
        <v>5.92</v>
      </c>
    </row>
    <row r="272" spans="1:22" ht="15" x14ac:dyDescent="0.25">
      <c r="A272" s="24"/>
      <c r="B272" s="24"/>
      <c r="C272" s="24"/>
      <c r="D272" s="24"/>
      <c r="E272" s="24"/>
      <c r="F272" s="24"/>
      <c r="G272" s="24"/>
      <c r="H272" s="24"/>
      <c r="I272" s="38">
        <f>J268+J269+J270</f>
        <v>5652.57</v>
      </c>
      <c r="J272" s="38"/>
      <c r="K272" s="25">
        <f>IF(Source!I171&lt;&gt;0, ROUND(I272/Source!I171, 2), 0)</f>
        <v>1413.14</v>
      </c>
      <c r="P272" s="23">
        <f>I272</f>
        <v>5652.57</v>
      </c>
    </row>
    <row r="273" spans="1:22" ht="42.75" x14ac:dyDescent="0.2">
      <c r="A273" s="18">
        <v>30</v>
      </c>
      <c r="B273" s="18" t="str">
        <f>Source!F172</f>
        <v>1.20-2103-19-3/1</v>
      </c>
      <c r="C273" s="18" t="str">
        <f>Source!G172</f>
        <v>Техническое обслуживание годовое светильника светодиодного потолочного типа Arctic 1500</v>
      </c>
      <c r="D273" s="19" t="str">
        <f>Source!H172</f>
        <v>шт.</v>
      </c>
      <c r="E273" s="9">
        <f>Source!I172</f>
        <v>551</v>
      </c>
      <c r="F273" s="21"/>
      <c r="G273" s="20"/>
      <c r="H273" s="9"/>
      <c r="I273" s="9"/>
      <c r="J273" s="21"/>
      <c r="K273" s="21"/>
      <c r="Q273">
        <f>ROUND((Source!BZ172/100)*ROUND((Source!AF172*Source!AV172)*Source!I172, 2), 2)</f>
        <v>89405.26</v>
      </c>
      <c r="R273">
        <f>Source!X172</f>
        <v>89405.26</v>
      </c>
      <c r="S273">
        <f>ROUND((Source!CA172/100)*ROUND((Source!AF172*Source!AV172)*Source!I172, 2), 2)</f>
        <v>12772.18</v>
      </c>
      <c r="T273">
        <f>Source!Y172</f>
        <v>12772.18</v>
      </c>
      <c r="U273">
        <f>ROUND((175/100)*ROUND((Source!AE172*Source!AV172)*Source!I172, 2), 2)</f>
        <v>0</v>
      </c>
      <c r="V273">
        <f>ROUND((108/100)*ROUND(Source!CS172*Source!I172, 2), 2)</f>
        <v>0</v>
      </c>
    </row>
    <row r="274" spans="1:22" ht="14.25" x14ac:dyDescent="0.2">
      <c r="A274" s="18"/>
      <c r="B274" s="18"/>
      <c r="C274" s="18" t="s">
        <v>641</v>
      </c>
      <c r="D274" s="19"/>
      <c r="E274" s="9"/>
      <c r="F274" s="21">
        <f>Source!AO172</f>
        <v>231.8</v>
      </c>
      <c r="G274" s="20" t="str">
        <f>Source!DG172</f>
        <v/>
      </c>
      <c r="H274" s="9">
        <f>Source!AV172</f>
        <v>1</v>
      </c>
      <c r="I274" s="9">
        <f>IF(Source!BA172&lt;&gt; 0, Source!BA172, 1)</f>
        <v>1</v>
      </c>
      <c r="J274" s="21">
        <f>Source!S172</f>
        <v>127721.8</v>
      </c>
      <c r="K274" s="21"/>
    </row>
    <row r="275" spans="1:22" ht="14.25" x14ac:dyDescent="0.2">
      <c r="A275" s="18"/>
      <c r="B275" s="18"/>
      <c r="C275" s="18" t="s">
        <v>649</v>
      </c>
      <c r="D275" s="19"/>
      <c r="E275" s="9"/>
      <c r="F275" s="21">
        <f>Source!AL172</f>
        <v>1.3</v>
      </c>
      <c r="G275" s="20" t="str">
        <f>Source!DD172</f>
        <v/>
      </c>
      <c r="H275" s="9">
        <f>Source!AW172</f>
        <v>1</v>
      </c>
      <c r="I275" s="9">
        <f>IF(Source!BC172&lt;&gt; 0, Source!BC172, 1)</f>
        <v>1</v>
      </c>
      <c r="J275" s="21">
        <f>Source!P172</f>
        <v>716.3</v>
      </c>
      <c r="K275" s="21"/>
    </row>
    <row r="276" spans="1:22" ht="14.25" x14ac:dyDescent="0.2">
      <c r="A276" s="18"/>
      <c r="B276" s="18"/>
      <c r="C276" s="18" t="s">
        <v>642</v>
      </c>
      <c r="D276" s="19" t="s">
        <v>643</v>
      </c>
      <c r="E276" s="9">
        <f>Source!AT172</f>
        <v>70</v>
      </c>
      <c r="F276" s="21"/>
      <c r="G276" s="20"/>
      <c r="H276" s="9"/>
      <c r="I276" s="9"/>
      <c r="J276" s="21">
        <f>SUM(R273:R275)</f>
        <v>89405.26</v>
      </c>
      <c r="K276" s="21"/>
    </row>
    <row r="277" spans="1:22" ht="14.25" x14ac:dyDescent="0.2">
      <c r="A277" s="18"/>
      <c r="B277" s="18"/>
      <c r="C277" s="18" t="s">
        <v>644</v>
      </c>
      <c r="D277" s="19" t="s">
        <v>643</v>
      </c>
      <c r="E277" s="9">
        <f>Source!AU172</f>
        <v>10</v>
      </c>
      <c r="F277" s="21"/>
      <c r="G277" s="20"/>
      <c r="H277" s="9"/>
      <c r="I277" s="9"/>
      <c r="J277" s="21">
        <f>SUM(T273:T276)</f>
        <v>12772.18</v>
      </c>
      <c r="K277" s="21"/>
    </row>
    <row r="278" spans="1:22" ht="14.25" x14ac:dyDescent="0.2">
      <c r="A278" s="18"/>
      <c r="B278" s="18"/>
      <c r="C278" s="18" t="s">
        <v>645</v>
      </c>
      <c r="D278" s="19" t="s">
        <v>646</v>
      </c>
      <c r="E278" s="9">
        <f>Source!AQ172</f>
        <v>0.48</v>
      </c>
      <c r="F278" s="21"/>
      <c r="G278" s="20" t="str">
        <f>Source!DI172</f>
        <v/>
      </c>
      <c r="H278" s="9">
        <f>Source!AV172</f>
        <v>1</v>
      </c>
      <c r="I278" s="9"/>
      <c r="J278" s="21"/>
      <c r="K278" s="21">
        <f>Source!U172</f>
        <v>264.48</v>
      </c>
    </row>
    <row r="279" spans="1:22" ht="15" x14ac:dyDescent="0.25">
      <c r="A279" s="24"/>
      <c r="B279" s="24"/>
      <c r="C279" s="24"/>
      <c r="D279" s="24"/>
      <c r="E279" s="24"/>
      <c r="F279" s="24"/>
      <c r="G279" s="24"/>
      <c r="H279" s="24"/>
      <c r="I279" s="38">
        <f>J274+J275+J276+J277</f>
        <v>230615.53999999998</v>
      </c>
      <c r="J279" s="38"/>
      <c r="K279" s="25">
        <f>IF(Source!I172&lt;&gt;0, ROUND(I279/Source!I172, 2), 0)</f>
        <v>418.54</v>
      </c>
      <c r="P279" s="23">
        <f>I279</f>
        <v>230615.53999999998</v>
      </c>
    </row>
    <row r="280" spans="1:22" ht="28.5" x14ac:dyDescent="0.2">
      <c r="A280" s="18">
        <v>31</v>
      </c>
      <c r="B280" s="18" t="str">
        <f>Source!F173</f>
        <v>1.23-2103-6-1/1</v>
      </c>
      <c r="C280" s="18" t="str">
        <f>Source!G173</f>
        <v>Техническое обслуживание выключателей поплавковых</v>
      </c>
      <c r="D280" s="19" t="str">
        <f>Source!H173</f>
        <v>100 шт.</v>
      </c>
      <c r="E280" s="9">
        <f>Source!I173</f>
        <v>0.86</v>
      </c>
      <c r="F280" s="21"/>
      <c r="G280" s="20"/>
      <c r="H280" s="9"/>
      <c r="I280" s="9"/>
      <c r="J280" s="21"/>
      <c r="K280" s="21"/>
      <c r="Q280">
        <f>ROUND((Source!BZ173/100)*ROUND((Source!AF173*Source!AV173)*Source!I173, 2), 2)</f>
        <v>6643.99</v>
      </c>
      <c r="R280">
        <f>Source!X173</f>
        <v>6643.99</v>
      </c>
      <c r="S280">
        <f>ROUND((Source!CA173/100)*ROUND((Source!AF173*Source!AV173)*Source!I173, 2), 2)</f>
        <v>949.14</v>
      </c>
      <c r="T280">
        <f>Source!Y173</f>
        <v>949.14</v>
      </c>
      <c r="U280">
        <f>ROUND((175/100)*ROUND((Source!AE173*Source!AV173)*Source!I173, 2), 2)</f>
        <v>3406.78</v>
      </c>
      <c r="V280">
        <f>ROUND((108/100)*ROUND(Source!CS173*Source!I173, 2), 2)</f>
        <v>2102.4699999999998</v>
      </c>
    </row>
    <row r="281" spans="1:22" x14ac:dyDescent="0.2">
      <c r="C281" s="22" t="str">
        <f>"Объем: "&amp;Source!I173&amp;"=86/"&amp;"100"</f>
        <v>Объем: 0,86=86/100</v>
      </c>
    </row>
    <row r="282" spans="1:22" ht="14.25" x14ac:dyDescent="0.2">
      <c r="A282" s="18"/>
      <c r="B282" s="18"/>
      <c r="C282" s="18" t="s">
        <v>641</v>
      </c>
      <c r="D282" s="19"/>
      <c r="E282" s="9"/>
      <c r="F282" s="21">
        <f>Source!AO173</f>
        <v>2759.13</v>
      </c>
      <c r="G282" s="20" t="str">
        <f>Source!DG173</f>
        <v>)*4</v>
      </c>
      <c r="H282" s="9">
        <f>Source!AV173</f>
        <v>1</v>
      </c>
      <c r="I282" s="9">
        <f>IF(Source!BA173&lt;&gt; 0, Source!BA173, 1)</f>
        <v>1</v>
      </c>
      <c r="J282" s="21">
        <f>Source!S173</f>
        <v>9491.41</v>
      </c>
      <c r="K282" s="21"/>
    </row>
    <row r="283" spans="1:22" ht="14.25" x14ac:dyDescent="0.2">
      <c r="A283" s="18"/>
      <c r="B283" s="18"/>
      <c r="C283" s="18" t="s">
        <v>647</v>
      </c>
      <c r="D283" s="19"/>
      <c r="E283" s="9"/>
      <c r="F283" s="21">
        <f>Source!AM173</f>
        <v>1043.32</v>
      </c>
      <c r="G283" s="20" t="str">
        <f>Source!DE173</f>
        <v>)*4</v>
      </c>
      <c r="H283" s="9">
        <f>Source!AV173</f>
        <v>1</v>
      </c>
      <c r="I283" s="9">
        <f>IF(Source!BB173&lt;&gt; 0, Source!BB173, 1)</f>
        <v>1</v>
      </c>
      <c r="J283" s="21">
        <f>Source!Q173</f>
        <v>3589.02</v>
      </c>
      <c r="K283" s="21"/>
    </row>
    <row r="284" spans="1:22" ht="14.25" x14ac:dyDescent="0.2">
      <c r="A284" s="18"/>
      <c r="B284" s="18"/>
      <c r="C284" s="18" t="s">
        <v>648</v>
      </c>
      <c r="D284" s="19"/>
      <c r="E284" s="9"/>
      <c r="F284" s="21">
        <f>Source!AN173</f>
        <v>565.91</v>
      </c>
      <c r="G284" s="20" t="str">
        <f>Source!DF173</f>
        <v>)*4</v>
      </c>
      <c r="H284" s="9">
        <f>Source!AV173</f>
        <v>1</v>
      </c>
      <c r="I284" s="9">
        <f>IF(Source!BS173&lt;&gt; 0, Source!BS173, 1)</f>
        <v>1</v>
      </c>
      <c r="J284" s="26">
        <f>Source!R173</f>
        <v>1946.73</v>
      </c>
      <c r="K284" s="21"/>
    </row>
    <row r="285" spans="1:22" ht="14.25" x14ac:dyDescent="0.2">
      <c r="A285" s="18"/>
      <c r="B285" s="18"/>
      <c r="C285" s="18" t="s">
        <v>649</v>
      </c>
      <c r="D285" s="19"/>
      <c r="E285" s="9"/>
      <c r="F285" s="21">
        <f>Source!AL173</f>
        <v>0.78</v>
      </c>
      <c r="G285" s="20" t="str">
        <f>Source!DD173</f>
        <v>)*4</v>
      </c>
      <c r="H285" s="9">
        <f>Source!AW173</f>
        <v>1</v>
      </c>
      <c r="I285" s="9">
        <f>IF(Source!BC173&lt;&gt; 0, Source!BC173, 1)</f>
        <v>1</v>
      </c>
      <c r="J285" s="21">
        <f>Source!P173</f>
        <v>2.68</v>
      </c>
      <c r="K285" s="21"/>
    </row>
    <row r="286" spans="1:22" ht="14.25" x14ac:dyDescent="0.2">
      <c r="A286" s="18"/>
      <c r="B286" s="18"/>
      <c r="C286" s="18" t="s">
        <v>642</v>
      </c>
      <c r="D286" s="19" t="s">
        <v>643</v>
      </c>
      <c r="E286" s="9">
        <f>Source!AT173</f>
        <v>70</v>
      </c>
      <c r="F286" s="21"/>
      <c r="G286" s="20"/>
      <c r="H286" s="9"/>
      <c r="I286" s="9"/>
      <c r="J286" s="21">
        <f>SUM(R280:R285)</f>
        <v>6643.99</v>
      </c>
      <c r="K286" s="21"/>
    </row>
    <row r="287" spans="1:22" ht="14.25" x14ac:dyDescent="0.2">
      <c r="A287" s="18"/>
      <c r="B287" s="18"/>
      <c r="C287" s="18" t="s">
        <v>644</v>
      </c>
      <c r="D287" s="19" t="s">
        <v>643</v>
      </c>
      <c r="E287" s="9">
        <f>Source!AU173</f>
        <v>10</v>
      </c>
      <c r="F287" s="21"/>
      <c r="G287" s="20"/>
      <c r="H287" s="9"/>
      <c r="I287" s="9"/>
      <c r="J287" s="21">
        <f>SUM(T280:T286)</f>
        <v>949.14</v>
      </c>
      <c r="K287" s="21"/>
    </row>
    <row r="288" spans="1:22" ht="14.25" x14ac:dyDescent="0.2">
      <c r="A288" s="18"/>
      <c r="B288" s="18"/>
      <c r="C288" s="18" t="s">
        <v>650</v>
      </c>
      <c r="D288" s="19" t="s">
        <v>643</v>
      </c>
      <c r="E288" s="9">
        <f>108</f>
        <v>108</v>
      </c>
      <c r="F288" s="21"/>
      <c r="G288" s="20"/>
      <c r="H288" s="9"/>
      <c r="I288" s="9"/>
      <c r="J288" s="21">
        <f>SUM(V280:V287)</f>
        <v>2102.4699999999998</v>
      </c>
      <c r="K288" s="21"/>
    </row>
    <row r="289" spans="1:22" ht="14.25" x14ac:dyDescent="0.2">
      <c r="A289" s="18"/>
      <c r="B289" s="18"/>
      <c r="C289" s="18" t="s">
        <v>645</v>
      </c>
      <c r="D289" s="19" t="s">
        <v>646</v>
      </c>
      <c r="E289" s="9">
        <f>Source!AQ173</f>
        <v>6</v>
      </c>
      <c r="F289" s="21"/>
      <c r="G289" s="20" t="str">
        <f>Source!DI173</f>
        <v>)*4</v>
      </c>
      <c r="H289" s="9">
        <f>Source!AV173</f>
        <v>1</v>
      </c>
      <c r="I289" s="9"/>
      <c r="J289" s="21"/>
      <c r="K289" s="21">
        <f>Source!U173</f>
        <v>20.64</v>
      </c>
    </row>
    <row r="290" spans="1:22" ht="15" x14ac:dyDescent="0.25">
      <c r="A290" s="24"/>
      <c r="B290" s="24"/>
      <c r="C290" s="24"/>
      <c r="D290" s="24"/>
      <c r="E290" s="24"/>
      <c r="F290" s="24"/>
      <c r="G290" s="24"/>
      <c r="H290" s="24"/>
      <c r="I290" s="38">
        <f>J282+J283+J285+J286+J287+J288</f>
        <v>22778.71</v>
      </c>
      <c r="J290" s="38"/>
      <c r="K290" s="25">
        <f>IF(Source!I173&lt;&gt;0, ROUND(I290/Source!I173, 2), 0)</f>
        <v>26486.87</v>
      </c>
      <c r="P290" s="23">
        <f>I290</f>
        <v>22778.71</v>
      </c>
    </row>
    <row r="291" spans="1:22" ht="57" x14ac:dyDescent="0.2">
      <c r="A291" s="18">
        <v>32</v>
      </c>
      <c r="B291" s="18" t="str">
        <f>Source!F174</f>
        <v>1.21-2103-9-2/1</v>
      </c>
      <c r="C291" s="18" t="str">
        <f>Source!G174</f>
        <v>Техническое обслуживание силовых сетей, проложенных по кирпичным и бетонным основаниям, провод сечением 3х1,5-6 мм2</v>
      </c>
      <c r="D291" s="19" t="str">
        <f>Source!H174</f>
        <v>100 м</v>
      </c>
      <c r="E291" s="9">
        <f>Source!I174</f>
        <v>1.7</v>
      </c>
      <c r="F291" s="21"/>
      <c r="G291" s="20"/>
      <c r="H291" s="9"/>
      <c r="I291" s="9"/>
      <c r="J291" s="21"/>
      <c r="K291" s="21"/>
      <c r="Q291">
        <f>ROUND((Source!BZ174/100)*ROUND((Source!AF174*Source!AV174)*Source!I174, 2), 2)</f>
        <v>5472.28</v>
      </c>
      <c r="R291">
        <f>Source!X174</f>
        <v>5472.28</v>
      </c>
      <c r="S291">
        <f>ROUND((Source!CA174/100)*ROUND((Source!AF174*Source!AV174)*Source!I174, 2), 2)</f>
        <v>781.75</v>
      </c>
      <c r="T291">
        <f>Source!Y174</f>
        <v>781.75</v>
      </c>
      <c r="U291">
        <f>ROUND((175/100)*ROUND((Source!AE174*Source!AV174)*Source!I174, 2), 2)</f>
        <v>0</v>
      </c>
      <c r="V291">
        <f>ROUND((108/100)*ROUND(Source!CS174*Source!I174, 2), 2)</f>
        <v>0</v>
      </c>
    </row>
    <row r="292" spans="1:22" x14ac:dyDescent="0.2">
      <c r="C292" s="22" t="str">
        <f>"Объем: "&amp;Source!I174&amp;"=1700*"&amp;"0,1/"&amp;"100"</f>
        <v>Объем: 1,7=1700*0,1/100</v>
      </c>
    </row>
    <row r="293" spans="1:22" ht="14.25" x14ac:dyDescent="0.2">
      <c r="A293" s="18"/>
      <c r="B293" s="18"/>
      <c r="C293" s="18" t="s">
        <v>641</v>
      </c>
      <c r="D293" s="19"/>
      <c r="E293" s="9"/>
      <c r="F293" s="21">
        <f>Source!AO174</f>
        <v>4598.55</v>
      </c>
      <c r="G293" s="20" t="str">
        <f>Source!DG174</f>
        <v/>
      </c>
      <c r="H293" s="9">
        <f>Source!AV174</f>
        <v>1</v>
      </c>
      <c r="I293" s="9">
        <f>IF(Source!BA174&lt;&gt; 0, Source!BA174, 1)</f>
        <v>1</v>
      </c>
      <c r="J293" s="21">
        <f>Source!S174</f>
        <v>7817.54</v>
      </c>
      <c r="K293" s="21"/>
    </row>
    <row r="294" spans="1:22" ht="14.25" x14ac:dyDescent="0.2">
      <c r="A294" s="18"/>
      <c r="B294" s="18"/>
      <c r="C294" s="18" t="s">
        <v>649</v>
      </c>
      <c r="D294" s="19"/>
      <c r="E294" s="9"/>
      <c r="F294" s="21">
        <f>Source!AL174</f>
        <v>21.06</v>
      </c>
      <c r="G294" s="20" t="str">
        <f>Source!DD174</f>
        <v/>
      </c>
      <c r="H294" s="9">
        <f>Source!AW174</f>
        <v>1</v>
      </c>
      <c r="I294" s="9">
        <f>IF(Source!BC174&lt;&gt; 0, Source!BC174, 1)</f>
        <v>1</v>
      </c>
      <c r="J294" s="21">
        <f>Source!P174</f>
        <v>35.799999999999997</v>
      </c>
      <c r="K294" s="21"/>
    </row>
    <row r="295" spans="1:22" ht="14.25" x14ac:dyDescent="0.2">
      <c r="A295" s="18"/>
      <c r="B295" s="18"/>
      <c r="C295" s="18" t="s">
        <v>642</v>
      </c>
      <c r="D295" s="19" t="s">
        <v>643</v>
      </c>
      <c r="E295" s="9">
        <f>Source!AT174</f>
        <v>70</v>
      </c>
      <c r="F295" s="21"/>
      <c r="G295" s="20"/>
      <c r="H295" s="9"/>
      <c r="I295" s="9"/>
      <c r="J295" s="21">
        <f>SUM(R291:R294)</f>
        <v>5472.28</v>
      </c>
      <c r="K295" s="21"/>
    </row>
    <row r="296" spans="1:22" ht="14.25" x14ac:dyDescent="0.2">
      <c r="A296" s="18"/>
      <c r="B296" s="18"/>
      <c r="C296" s="18" t="s">
        <v>644</v>
      </c>
      <c r="D296" s="19" t="s">
        <v>643</v>
      </c>
      <c r="E296" s="9">
        <f>Source!AU174</f>
        <v>10</v>
      </c>
      <c r="F296" s="21"/>
      <c r="G296" s="20"/>
      <c r="H296" s="9"/>
      <c r="I296" s="9"/>
      <c r="J296" s="21">
        <f>SUM(T291:T295)</f>
        <v>781.75</v>
      </c>
      <c r="K296" s="21"/>
    </row>
    <row r="297" spans="1:22" ht="14.25" x14ac:dyDescent="0.2">
      <c r="A297" s="18"/>
      <c r="B297" s="18"/>
      <c r="C297" s="18" t="s">
        <v>645</v>
      </c>
      <c r="D297" s="19" t="s">
        <v>646</v>
      </c>
      <c r="E297" s="9">
        <f>Source!AQ174</f>
        <v>10</v>
      </c>
      <c r="F297" s="21"/>
      <c r="G297" s="20" t="str">
        <f>Source!DI174</f>
        <v/>
      </c>
      <c r="H297" s="9">
        <f>Source!AV174</f>
        <v>1</v>
      </c>
      <c r="I297" s="9"/>
      <c r="J297" s="21"/>
      <c r="K297" s="21">
        <f>Source!U174</f>
        <v>17</v>
      </c>
    </row>
    <row r="298" spans="1:22" ht="15" x14ac:dyDescent="0.25">
      <c r="A298" s="24"/>
      <c r="B298" s="24"/>
      <c r="C298" s="24"/>
      <c r="D298" s="24"/>
      <c r="E298" s="24"/>
      <c r="F298" s="24"/>
      <c r="G298" s="24"/>
      <c r="H298" s="24"/>
      <c r="I298" s="38">
        <f>J293+J294+J295+J296</f>
        <v>14107.369999999999</v>
      </c>
      <c r="J298" s="38"/>
      <c r="K298" s="25">
        <f>IF(Source!I174&lt;&gt;0, ROUND(I298/Source!I174, 2), 0)</f>
        <v>8298.4500000000007</v>
      </c>
      <c r="P298" s="23">
        <f>I298</f>
        <v>14107.369999999999</v>
      </c>
    </row>
    <row r="299" spans="1:22" ht="57" x14ac:dyDescent="0.2">
      <c r="A299" s="18">
        <v>33</v>
      </c>
      <c r="B299" s="18" t="str">
        <f>Source!F175</f>
        <v>1.21-2101-1-1/1</v>
      </c>
      <c r="C299" s="18" t="str">
        <f>Source!G175</f>
        <v>Технический осмотр силовых сетей, проложенных по кирпичным и бетонным основаниям, провод сечением 2х1,5-6 мм2</v>
      </c>
      <c r="D299" s="19" t="str">
        <f>Source!H175</f>
        <v>100 м</v>
      </c>
      <c r="E299" s="9">
        <f>Source!I175</f>
        <v>1.7</v>
      </c>
      <c r="F299" s="21"/>
      <c r="G299" s="20"/>
      <c r="H299" s="9"/>
      <c r="I299" s="9"/>
      <c r="J299" s="21"/>
      <c r="K299" s="21"/>
      <c r="Q299">
        <f>ROUND((Source!BZ175/100)*ROUND((Source!AF175*Source!AV175)*Source!I175, 2), 2)</f>
        <v>131.33000000000001</v>
      </c>
      <c r="R299">
        <f>Source!X175</f>
        <v>131.33000000000001</v>
      </c>
      <c r="S299">
        <f>ROUND((Source!CA175/100)*ROUND((Source!AF175*Source!AV175)*Source!I175, 2), 2)</f>
        <v>18.760000000000002</v>
      </c>
      <c r="T299">
        <f>Source!Y175</f>
        <v>18.760000000000002</v>
      </c>
      <c r="U299">
        <f>ROUND((175/100)*ROUND((Source!AE175*Source!AV175)*Source!I175, 2), 2)</f>
        <v>0</v>
      </c>
      <c r="V299">
        <f>ROUND((108/100)*ROUND(Source!CS175*Source!I175, 2), 2)</f>
        <v>0</v>
      </c>
    </row>
    <row r="300" spans="1:22" x14ac:dyDescent="0.2">
      <c r="C300" s="22" t="str">
        <f>"Объем: "&amp;Source!I175&amp;"=1700*"&amp;"0,1/"&amp;"100"</f>
        <v>Объем: 1,7=1700*0,1/100</v>
      </c>
    </row>
    <row r="301" spans="1:22" ht="14.25" x14ac:dyDescent="0.2">
      <c r="A301" s="18"/>
      <c r="B301" s="18"/>
      <c r="C301" s="18" t="s">
        <v>641</v>
      </c>
      <c r="D301" s="19"/>
      <c r="E301" s="9"/>
      <c r="F301" s="21">
        <f>Source!AO175</f>
        <v>110.36</v>
      </c>
      <c r="G301" s="20" t="str">
        <f>Source!DG175</f>
        <v/>
      </c>
      <c r="H301" s="9">
        <f>Source!AV175</f>
        <v>1</v>
      </c>
      <c r="I301" s="9">
        <f>IF(Source!BA175&lt;&gt; 0, Source!BA175, 1)</f>
        <v>1</v>
      </c>
      <c r="J301" s="21">
        <f>Source!S175</f>
        <v>187.61</v>
      </c>
      <c r="K301" s="21"/>
    </row>
    <row r="302" spans="1:22" ht="14.25" x14ac:dyDescent="0.2">
      <c r="A302" s="18"/>
      <c r="B302" s="18"/>
      <c r="C302" s="18" t="s">
        <v>642</v>
      </c>
      <c r="D302" s="19" t="s">
        <v>643</v>
      </c>
      <c r="E302" s="9">
        <f>Source!AT175</f>
        <v>70</v>
      </c>
      <c r="F302" s="21"/>
      <c r="G302" s="20"/>
      <c r="H302" s="9"/>
      <c r="I302" s="9"/>
      <c r="J302" s="21">
        <f>SUM(R299:R301)</f>
        <v>131.33000000000001</v>
      </c>
      <c r="K302" s="21"/>
    </row>
    <row r="303" spans="1:22" ht="14.25" x14ac:dyDescent="0.2">
      <c r="A303" s="18"/>
      <c r="B303" s="18"/>
      <c r="C303" s="18" t="s">
        <v>644</v>
      </c>
      <c r="D303" s="19" t="s">
        <v>643</v>
      </c>
      <c r="E303" s="9">
        <f>Source!AU175</f>
        <v>10</v>
      </c>
      <c r="F303" s="21"/>
      <c r="G303" s="20"/>
      <c r="H303" s="9"/>
      <c r="I303" s="9"/>
      <c r="J303" s="21">
        <f>SUM(T299:T302)</f>
        <v>18.760000000000002</v>
      </c>
      <c r="K303" s="21"/>
    </row>
    <row r="304" spans="1:22" ht="14.25" x14ac:dyDescent="0.2">
      <c r="A304" s="18"/>
      <c r="B304" s="18"/>
      <c r="C304" s="18" t="s">
        <v>645</v>
      </c>
      <c r="D304" s="19" t="s">
        <v>646</v>
      </c>
      <c r="E304" s="9">
        <f>Source!AQ175</f>
        <v>0.24</v>
      </c>
      <c r="F304" s="21"/>
      <c r="G304" s="20" t="str">
        <f>Source!DI175</f>
        <v/>
      </c>
      <c r="H304" s="9">
        <f>Source!AV175</f>
        <v>1</v>
      </c>
      <c r="I304" s="9"/>
      <c r="J304" s="21"/>
      <c r="K304" s="21">
        <f>Source!U175</f>
        <v>0.40799999999999997</v>
      </c>
    </row>
    <row r="305" spans="1:22" ht="15" x14ac:dyDescent="0.25">
      <c r="A305" s="24"/>
      <c r="B305" s="24"/>
      <c r="C305" s="24"/>
      <c r="D305" s="24"/>
      <c r="E305" s="24"/>
      <c r="F305" s="24"/>
      <c r="G305" s="24"/>
      <c r="H305" s="24"/>
      <c r="I305" s="38">
        <f>J301+J302+J303</f>
        <v>337.70000000000005</v>
      </c>
      <c r="J305" s="38"/>
      <c r="K305" s="25">
        <f>IF(Source!I175&lt;&gt;0, ROUND(I305/Source!I175, 2), 0)</f>
        <v>198.65</v>
      </c>
      <c r="P305" s="23">
        <f>I305</f>
        <v>337.70000000000005</v>
      </c>
    </row>
    <row r="307" spans="1:22" ht="15" x14ac:dyDescent="0.25">
      <c r="A307" s="36" t="str">
        <f>CONCATENATE("Итого по разделу: ",IF(Source!G177&lt;&gt;"Новый раздел", Source!G177, ""))</f>
        <v>Итого по разделу: Электроосвещение</v>
      </c>
      <c r="B307" s="36"/>
      <c r="C307" s="36"/>
      <c r="D307" s="36"/>
      <c r="E307" s="36"/>
      <c r="F307" s="36"/>
      <c r="G307" s="36"/>
      <c r="H307" s="36"/>
      <c r="I307" s="34">
        <f>SUM(P260:P306)</f>
        <v>363625.95999999996</v>
      </c>
      <c r="J307" s="35"/>
      <c r="K307" s="28"/>
    </row>
    <row r="310" spans="1:22" ht="16.5" x14ac:dyDescent="0.25">
      <c r="A310" s="37" t="str">
        <f>CONCATENATE("Раздел: ",IF(Source!G207&lt;&gt;"Новый раздел", Source!G207, ""))</f>
        <v>Раздел: Электроснабжение</v>
      </c>
      <c r="B310" s="37"/>
      <c r="C310" s="37"/>
      <c r="D310" s="37"/>
      <c r="E310" s="37"/>
      <c r="F310" s="37"/>
      <c r="G310" s="37"/>
      <c r="H310" s="37"/>
      <c r="I310" s="37"/>
      <c r="J310" s="37"/>
      <c r="K310" s="37"/>
    </row>
    <row r="311" spans="1:22" ht="42.75" x14ac:dyDescent="0.2">
      <c r="A311" s="18">
        <v>34</v>
      </c>
      <c r="B311" s="18" t="str">
        <f>Source!F211</f>
        <v>1.21-2201-28-3/1</v>
      </c>
      <c r="C311" s="18" t="str">
        <f>Source!G211</f>
        <v>Технический осмотр главного распределительного щита (ГРЩ) с количеством вводов 2 - ежедневный</v>
      </c>
      <c r="D311" s="19" t="str">
        <f>Source!H211</f>
        <v>шт.</v>
      </c>
      <c r="E311" s="9">
        <f>Source!I211</f>
        <v>1</v>
      </c>
      <c r="F311" s="21"/>
      <c r="G311" s="20"/>
      <c r="H311" s="9"/>
      <c r="I311" s="9"/>
      <c r="J311" s="21"/>
      <c r="K311" s="21"/>
      <c r="Q311">
        <f>ROUND((Source!BZ211/100)*ROUND((Source!AF211*Source!AV211)*Source!I211, 2), 2)</f>
        <v>8763.0300000000007</v>
      </c>
      <c r="R311">
        <f>Source!X211</f>
        <v>8763.0300000000007</v>
      </c>
      <c r="S311">
        <f>ROUND((Source!CA211/100)*ROUND((Source!AF211*Source!AV211)*Source!I211, 2), 2)</f>
        <v>1251.8599999999999</v>
      </c>
      <c r="T311">
        <f>Source!Y211</f>
        <v>1251.8599999999999</v>
      </c>
      <c r="U311">
        <f>ROUND((175/100)*ROUND((Source!AE211*Source!AV211)*Source!I211, 2), 2)</f>
        <v>0</v>
      </c>
      <c r="V311">
        <f>ROUND((108/100)*ROUND(Source!CS211*Source!I211, 2), 2)</f>
        <v>0</v>
      </c>
    </row>
    <row r="312" spans="1:22" ht="14.25" x14ac:dyDescent="0.2">
      <c r="A312" s="18"/>
      <c r="B312" s="18"/>
      <c r="C312" s="18" t="s">
        <v>641</v>
      </c>
      <c r="D312" s="19"/>
      <c r="E312" s="9"/>
      <c r="F312" s="21">
        <f>Source!AO211</f>
        <v>106.09</v>
      </c>
      <c r="G312" s="20" t="str">
        <f>Source!DG211</f>
        <v>)*118</v>
      </c>
      <c r="H312" s="9">
        <f>Source!AV211</f>
        <v>1</v>
      </c>
      <c r="I312" s="9">
        <f>IF(Source!BA211&lt;&gt; 0, Source!BA211, 1)</f>
        <v>1</v>
      </c>
      <c r="J312" s="21">
        <f>Source!S211</f>
        <v>12518.62</v>
      </c>
      <c r="K312" s="21"/>
    </row>
    <row r="313" spans="1:22" ht="14.25" x14ac:dyDescent="0.2">
      <c r="A313" s="18"/>
      <c r="B313" s="18"/>
      <c r="C313" s="18" t="s">
        <v>642</v>
      </c>
      <c r="D313" s="19" t="s">
        <v>643</v>
      </c>
      <c r="E313" s="9">
        <f>Source!AT211</f>
        <v>70</v>
      </c>
      <c r="F313" s="21"/>
      <c r="G313" s="20"/>
      <c r="H313" s="9"/>
      <c r="I313" s="9"/>
      <c r="J313" s="21">
        <f>SUM(R311:R312)</f>
        <v>8763.0300000000007</v>
      </c>
      <c r="K313" s="21"/>
    </row>
    <row r="314" spans="1:22" ht="14.25" x14ac:dyDescent="0.2">
      <c r="A314" s="18"/>
      <c r="B314" s="18"/>
      <c r="C314" s="18" t="s">
        <v>644</v>
      </c>
      <c r="D314" s="19" t="s">
        <v>643</v>
      </c>
      <c r="E314" s="9">
        <f>Source!AU211</f>
        <v>10</v>
      </c>
      <c r="F314" s="21"/>
      <c r="G314" s="20"/>
      <c r="H314" s="9"/>
      <c r="I314" s="9"/>
      <c r="J314" s="21">
        <f>SUM(T311:T313)</f>
        <v>1251.8599999999999</v>
      </c>
      <c r="K314" s="21"/>
    </row>
    <row r="315" spans="1:22" ht="14.25" x14ac:dyDescent="0.2">
      <c r="A315" s="18"/>
      <c r="B315" s="18"/>
      <c r="C315" s="18" t="s">
        <v>645</v>
      </c>
      <c r="D315" s="19" t="s">
        <v>646</v>
      </c>
      <c r="E315" s="9">
        <f>Source!AQ211</f>
        <v>0.2</v>
      </c>
      <c r="F315" s="21"/>
      <c r="G315" s="20" t="str">
        <f>Source!DI211</f>
        <v>)*118</v>
      </c>
      <c r="H315" s="9">
        <f>Source!AV211</f>
        <v>1</v>
      </c>
      <c r="I315" s="9"/>
      <c r="J315" s="21"/>
      <c r="K315" s="21">
        <f>Source!U211</f>
        <v>23.6</v>
      </c>
    </row>
    <row r="316" spans="1:22" ht="15" x14ac:dyDescent="0.25">
      <c r="A316" s="24"/>
      <c r="B316" s="24"/>
      <c r="C316" s="24"/>
      <c r="D316" s="24"/>
      <c r="E316" s="24"/>
      <c r="F316" s="24"/>
      <c r="G316" s="24"/>
      <c r="H316" s="24"/>
      <c r="I316" s="38">
        <f>J312+J313+J314</f>
        <v>22533.510000000002</v>
      </c>
      <c r="J316" s="38"/>
      <c r="K316" s="25">
        <f>IF(Source!I211&lt;&gt;0, ROUND(I316/Source!I211, 2), 0)</f>
        <v>22533.51</v>
      </c>
      <c r="P316" s="23">
        <f>I316</f>
        <v>22533.510000000002</v>
      </c>
    </row>
    <row r="317" spans="1:22" ht="42.75" x14ac:dyDescent="0.2">
      <c r="A317" s="18">
        <v>35</v>
      </c>
      <c r="B317" s="18" t="str">
        <f>Source!F212</f>
        <v>1.21-2201-28-4/1</v>
      </c>
      <c r="C317" s="18" t="str">
        <f>Source!G212</f>
        <v>Технический осмотр главного распределительного щита (ГРЩ) с количеством вводов 2 - ежемесячный</v>
      </c>
      <c r="D317" s="19" t="str">
        <f>Source!H212</f>
        <v>шт.</v>
      </c>
      <c r="E317" s="9">
        <f>Source!I212</f>
        <v>1</v>
      </c>
      <c r="F317" s="21"/>
      <c r="G317" s="20"/>
      <c r="H317" s="9"/>
      <c r="I317" s="9"/>
      <c r="J317" s="21"/>
      <c r="K317" s="21"/>
      <c r="Q317">
        <f>ROUND((Source!BZ212/100)*ROUND((Source!AF212*Source!AV212)*Source!I212, 2), 2)</f>
        <v>549.55999999999995</v>
      </c>
      <c r="R317">
        <f>Source!X212</f>
        <v>549.55999999999995</v>
      </c>
      <c r="S317">
        <f>ROUND((Source!CA212/100)*ROUND((Source!AF212*Source!AV212)*Source!I212, 2), 2)</f>
        <v>78.510000000000005</v>
      </c>
      <c r="T317">
        <f>Source!Y212</f>
        <v>78.510000000000005</v>
      </c>
      <c r="U317">
        <f>ROUND((175/100)*ROUND((Source!AE212*Source!AV212)*Source!I212, 2), 2)</f>
        <v>0</v>
      </c>
      <c r="V317">
        <f>ROUND((108/100)*ROUND(Source!CS212*Source!I212, 2), 2)</f>
        <v>0</v>
      </c>
    </row>
    <row r="318" spans="1:22" ht="14.25" x14ac:dyDescent="0.2">
      <c r="A318" s="18"/>
      <c r="B318" s="18"/>
      <c r="C318" s="18" t="s">
        <v>641</v>
      </c>
      <c r="D318" s="19"/>
      <c r="E318" s="9"/>
      <c r="F318" s="21">
        <f>Source!AO212</f>
        <v>196.27</v>
      </c>
      <c r="G318" s="20" t="str">
        <f>Source!DG212</f>
        <v>)*4</v>
      </c>
      <c r="H318" s="9">
        <f>Source!AV212</f>
        <v>1</v>
      </c>
      <c r="I318" s="9">
        <f>IF(Source!BA212&lt;&gt; 0, Source!BA212, 1)</f>
        <v>1</v>
      </c>
      <c r="J318" s="21">
        <f>Source!S212</f>
        <v>785.08</v>
      </c>
      <c r="K318" s="21"/>
    </row>
    <row r="319" spans="1:22" ht="14.25" x14ac:dyDescent="0.2">
      <c r="A319" s="18"/>
      <c r="B319" s="18"/>
      <c r="C319" s="18" t="s">
        <v>642</v>
      </c>
      <c r="D319" s="19" t="s">
        <v>643</v>
      </c>
      <c r="E319" s="9">
        <f>Source!AT212</f>
        <v>70</v>
      </c>
      <c r="F319" s="21"/>
      <c r="G319" s="20"/>
      <c r="H319" s="9"/>
      <c r="I319" s="9"/>
      <c r="J319" s="21">
        <f>SUM(R317:R318)</f>
        <v>549.55999999999995</v>
      </c>
      <c r="K319" s="21"/>
    </row>
    <row r="320" spans="1:22" ht="14.25" x14ac:dyDescent="0.2">
      <c r="A320" s="18"/>
      <c r="B320" s="18"/>
      <c r="C320" s="18" t="s">
        <v>644</v>
      </c>
      <c r="D320" s="19" t="s">
        <v>643</v>
      </c>
      <c r="E320" s="9">
        <f>Source!AU212</f>
        <v>10</v>
      </c>
      <c r="F320" s="21"/>
      <c r="G320" s="20"/>
      <c r="H320" s="9"/>
      <c r="I320" s="9"/>
      <c r="J320" s="21">
        <f>SUM(T317:T319)</f>
        <v>78.510000000000005</v>
      </c>
      <c r="K320" s="21"/>
    </row>
    <row r="321" spans="1:22" ht="14.25" x14ac:dyDescent="0.2">
      <c r="A321" s="18"/>
      <c r="B321" s="18"/>
      <c r="C321" s="18" t="s">
        <v>645</v>
      </c>
      <c r="D321" s="19" t="s">
        <v>646</v>
      </c>
      <c r="E321" s="9">
        <f>Source!AQ212</f>
        <v>0.37</v>
      </c>
      <c r="F321" s="21"/>
      <c r="G321" s="20" t="str">
        <f>Source!DI212</f>
        <v>)*4</v>
      </c>
      <c r="H321" s="9">
        <f>Source!AV212</f>
        <v>1</v>
      </c>
      <c r="I321" s="9"/>
      <c r="J321" s="21"/>
      <c r="K321" s="21">
        <f>Source!U212</f>
        <v>1.48</v>
      </c>
    </row>
    <row r="322" spans="1:22" ht="15" x14ac:dyDescent="0.25">
      <c r="A322" s="24"/>
      <c r="B322" s="24"/>
      <c r="C322" s="24"/>
      <c r="D322" s="24"/>
      <c r="E322" s="24"/>
      <c r="F322" s="24"/>
      <c r="G322" s="24"/>
      <c r="H322" s="24"/>
      <c r="I322" s="38">
        <f>J318+J319+J320</f>
        <v>1413.1499999999999</v>
      </c>
      <c r="J322" s="38"/>
      <c r="K322" s="25">
        <f>IF(Source!I212&lt;&gt;0, ROUND(I322/Source!I212, 2), 0)</f>
        <v>1413.15</v>
      </c>
      <c r="P322" s="23">
        <f>I322</f>
        <v>1413.1499999999999</v>
      </c>
    </row>
    <row r="323" spans="1:22" ht="57" x14ac:dyDescent="0.2">
      <c r="A323" s="18">
        <v>36</v>
      </c>
      <c r="B323" s="18" t="str">
        <f>Source!F213</f>
        <v>1.21-2201-30-1/1</v>
      </c>
      <c r="C323" s="18" t="str">
        <f>Source!G213</f>
        <v>Технический осмотр шкафа устройства автоматического включения резервного питания (АВР) - ежедневный</v>
      </c>
      <c r="D323" s="19" t="str">
        <f>Source!H213</f>
        <v>шт.</v>
      </c>
      <c r="E323" s="9">
        <f>Source!I213</f>
        <v>1</v>
      </c>
      <c r="F323" s="21"/>
      <c r="G323" s="20"/>
      <c r="H323" s="9"/>
      <c r="I323" s="9"/>
      <c r="J323" s="21"/>
      <c r="K323" s="21"/>
      <c r="Q323">
        <f>ROUND((Source!BZ213/100)*ROUND((Source!AF213*Source!AV213)*Source!I213, 2), 2)</f>
        <v>3066.94</v>
      </c>
      <c r="R323">
        <f>Source!X213</f>
        <v>3066.94</v>
      </c>
      <c r="S323">
        <f>ROUND((Source!CA213/100)*ROUND((Source!AF213*Source!AV213)*Source!I213, 2), 2)</f>
        <v>438.13</v>
      </c>
      <c r="T323">
        <f>Source!Y213</f>
        <v>438.13</v>
      </c>
      <c r="U323">
        <f>ROUND((175/100)*ROUND((Source!AE213*Source!AV213)*Source!I213, 2), 2)</f>
        <v>0</v>
      </c>
      <c r="V323">
        <f>ROUND((108/100)*ROUND(Source!CS213*Source!I213, 2), 2)</f>
        <v>0</v>
      </c>
    </row>
    <row r="324" spans="1:22" ht="14.25" x14ac:dyDescent="0.2">
      <c r="A324" s="18"/>
      <c r="B324" s="18"/>
      <c r="C324" s="18" t="s">
        <v>641</v>
      </c>
      <c r="D324" s="19"/>
      <c r="E324" s="9"/>
      <c r="F324" s="21">
        <f>Source!AO213</f>
        <v>37.130000000000003</v>
      </c>
      <c r="G324" s="20" t="str">
        <f>Source!DG213</f>
        <v>)*118</v>
      </c>
      <c r="H324" s="9">
        <f>Source!AV213</f>
        <v>1</v>
      </c>
      <c r="I324" s="9">
        <f>IF(Source!BA213&lt;&gt; 0, Source!BA213, 1)</f>
        <v>1</v>
      </c>
      <c r="J324" s="21">
        <f>Source!S213</f>
        <v>4381.34</v>
      </c>
      <c r="K324" s="21"/>
    </row>
    <row r="325" spans="1:22" ht="14.25" x14ac:dyDescent="0.2">
      <c r="A325" s="18"/>
      <c r="B325" s="18"/>
      <c r="C325" s="18" t="s">
        <v>642</v>
      </c>
      <c r="D325" s="19" t="s">
        <v>643</v>
      </c>
      <c r="E325" s="9">
        <f>Source!AT213</f>
        <v>70</v>
      </c>
      <c r="F325" s="21"/>
      <c r="G325" s="20"/>
      <c r="H325" s="9"/>
      <c r="I325" s="9"/>
      <c r="J325" s="21">
        <f>SUM(R323:R324)</f>
        <v>3066.94</v>
      </c>
      <c r="K325" s="21"/>
    </row>
    <row r="326" spans="1:22" ht="14.25" x14ac:dyDescent="0.2">
      <c r="A326" s="18"/>
      <c r="B326" s="18"/>
      <c r="C326" s="18" t="s">
        <v>644</v>
      </c>
      <c r="D326" s="19" t="s">
        <v>643</v>
      </c>
      <c r="E326" s="9">
        <f>Source!AU213</f>
        <v>10</v>
      </c>
      <c r="F326" s="21"/>
      <c r="G326" s="20"/>
      <c r="H326" s="9"/>
      <c r="I326" s="9"/>
      <c r="J326" s="21">
        <f>SUM(T323:T325)</f>
        <v>438.13</v>
      </c>
      <c r="K326" s="21"/>
    </row>
    <row r="327" spans="1:22" ht="14.25" x14ac:dyDescent="0.2">
      <c r="A327" s="18"/>
      <c r="B327" s="18"/>
      <c r="C327" s="18" t="s">
        <v>645</v>
      </c>
      <c r="D327" s="19" t="s">
        <v>646</v>
      </c>
      <c r="E327" s="9">
        <f>Source!AQ213</f>
        <v>7.0000000000000007E-2</v>
      </c>
      <c r="F327" s="21"/>
      <c r="G327" s="20" t="str">
        <f>Source!DI213</f>
        <v>)*118</v>
      </c>
      <c r="H327" s="9">
        <f>Source!AV213</f>
        <v>1</v>
      </c>
      <c r="I327" s="9"/>
      <c r="J327" s="21"/>
      <c r="K327" s="21">
        <f>Source!U213</f>
        <v>8.2600000000000016</v>
      </c>
    </row>
    <row r="328" spans="1:22" ht="15" x14ac:dyDescent="0.25">
      <c r="A328" s="24"/>
      <c r="B328" s="24"/>
      <c r="C328" s="24"/>
      <c r="D328" s="24"/>
      <c r="E328" s="24"/>
      <c r="F328" s="24"/>
      <c r="G328" s="24"/>
      <c r="H328" s="24"/>
      <c r="I328" s="38">
        <f>J324+J325+J326</f>
        <v>7886.4100000000008</v>
      </c>
      <c r="J328" s="38"/>
      <c r="K328" s="25">
        <f>IF(Source!I213&lt;&gt;0, ROUND(I328/Source!I213, 2), 0)</f>
        <v>7886.41</v>
      </c>
      <c r="P328" s="23">
        <f>I328</f>
        <v>7886.4100000000008</v>
      </c>
    </row>
    <row r="329" spans="1:22" ht="57" x14ac:dyDescent="0.2">
      <c r="A329" s="18">
        <v>37</v>
      </c>
      <c r="B329" s="18" t="str">
        <f>Source!F214</f>
        <v>1.21-2201-30-2/1</v>
      </c>
      <c r="C329" s="18" t="str">
        <f>Source!G214</f>
        <v>Технический осмотр шкафа устройства автоматического включения резервного питания (АВР) - ежемесячный</v>
      </c>
      <c r="D329" s="19" t="str">
        <f>Source!H214</f>
        <v>шт.</v>
      </c>
      <c r="E329" s="9">
        <f>Source!I214</f>
        <v>1</v>
      </c>
      <c r="F329" s="21"/>
      <c r="G329" s="20"/>
      <c r="H329" s="9"/>
      <c r="I329" s="9"/>
      <c r="J329" s="21"/>
      <c r="K329" s="21"/>
      <c r="Q329">
        <f>ROUND((Source!BZ214/100)*ROUND((Source!AF214*Source!AV214)*Source!I214, 2), 2)</f>
        <v>252.5</v>
      </c>
      <c r="R329">
        <f>Source!X214</f>
        <v>252.5</v>
      </c>
      <c r="S329">
        <f>ROUND((Source!CA214/100)*ROUND((Source!AF214*Source!AV214)*Source!I214, 2), 2)</f>
        <v>36.07</v>
      </c>
      <c r="T329">
        <f>Source!Y214</f>
        <v>36.07</v>
      </c>
      <c r="U329">
        <f>ROUND((175/100)*ROUND((Source!AE214*Source!AV214)*Source!I214, 2), 2)</f>
        <v>0</v>
      </c>
      <c r="V329">
        <f>ROUND((108/100)*ROUND(Source!CS214*Source!I214, 2), 2)</f>
        <v>0</v>
      </c>
    </row>
    <row r="330" spans="1:22" ht="14.25" x14ac:dyDescent="0.2">
      <c r="A330" s="18"/>
      <c r="B330" s="18"/>
      <c r="C330" s="18" t="s">
        <v>641</v>
      </c>
      <c r="D330" s="19"/>
      <c r="E330" s="9"/>
      <c r="F330" s="21">
        <f>Source!AO214</f>
        <v>90.18</v>
      </c>
      <c r="G330" s="20" t="str">
        <f>Source!DG214</f>
        <v>)*4</v>
      </c>
      <c r="H330" s="9">
        <f>Source!AV214</f>
        <v>1</v>
      </c>
      <c r="I330" s="9">
        <f>IF(Source!BA214&lt;&gt; 0, Source!BA214, 1)</f>
        <v>1</v>
      </c>
      <c r="J330" s="21">
        <f>Source!S214</f>
        <v>360.72</v>
      </c>
      <c r="K330" s="21"/>
    </row>
    <row r="331" spans="1:22" ht="14.25" x14ac:dyDescent="0.2">
      <c r="A331" s="18"/>
      <c r="B331" s="18"/>
      <c r="C331" s="18" t="s">
        <v>649</v>
      </c>
      <c r="D331" s="19"/>
      <c r="E331" s="9"/>
      <c r="F331" s="21">
        <f>Source!AL214</f>
        <v>1.3</v>
      </c>
      <c r="G331" s="20" t="str">
        <f>Source!DD214</f>
        <v>)*4</v>
      </c>
      <c r="H331" s="9">
        <f>Source!AW214</f>
        <v>1</v>
      </c>
      <c r="I331" s="9">
        <f>IF(Source!BC214&lt;&gt; 0, Source!BC214, 1)</f>
        <v>1</v>
      </c>
      <c r="J331" s="21">
        <f>Source!P214</f>
        <v>5.2</v>
      </c>
      <c r="K331" s="21"/>
    </row>
    <row r="332" spans="1:22" ht="14.25" x14ac:dyDescent="0.2">
      <c r="A332" s="18"/>
      <c r="B332" s="18"/>
      <c r="C332" s="18" t="s">
        <v>642</v>
      </c>
      <c r="D332" s="19" t="s">
        <v>643</v>
      </c>
      <c r="E332" s="9">
        <f>Source!AT214</f>
        <v>70</v>
      </c>
      <c r="F332" s="21"/>
      <c r="G332" s="20"/>
      <c r="H332" s="9"/>
      <c r="I332" s="9"/>
      <c r="J332" s="21">
        <f>SUM(R329:R331)</f>
        <v>252.5</v>
      </c>
      <c r="K332" s="21"/>
    </row>
    <row r="333" spans="1:22" ht="14.25" x14ac:dyDescent="0.2">
      <c r="A333" s="18"/>
      <c r="B333" s="18"/>
      <c r="C333" s="18" t="s">
        <v>644</v>
      </c>
      <c r="D333" s="19" t="s">
        <v>643</v>
      </c>
      <c r="E333" s="9">
        <f>Source!AU214</f>
        <v>10</v>
      </c>
      <c r="F333" s="21"/>
      <c r="G333" s="20"/>
      <c r="H333" s="9"/>
      <c r="I333" s="9"/>
      <c r="J333" s="21">
        <f>SUM(T329:T332)</f>
        <v>36.07</v>
      </c>
      <c r="K333" s="21"/>
    </row>
    <row r="334" spans="1:22" ht="14.25" x14ac:dyDescent="0.2">
      <c r="A334" s="18"/>
      <c r="B334" s="18"/>
      <c r="C334" s="18" t="s">
        <v>645</v>
      </c>
      <c r="D334" s="19" t="s">
        <v>646</v>
      </c>
      <c r="E334" s="9">
        <f>Source!AQ214</f>
        <v>0.17</v>
      </c>
      <c r="F334" s="21"/>
      <c r="G334" s="20" t="str">
        <f>Source!DI214</f>
        <v>)*4</v>
      </c>
      <c r="H334" s="9">
        <f>Source!AV214</f>
        <v>1</v>
      </c>
      <c r="I334" s="9"/>
      <c r="J334" s="21"/>
      <c r="K334" s="21">
        <f>Source!U214</f>
        <v>0.68</v>
      </c>
    </row>
    <row r="335" spans="1:22" ht="15" x14ac:dyDescent="0.25">
      <c r="A335" s="24"/>
      <c r="B335" s="24"/>
      <c r="C335" s="24"/>
      <c r="D335" s="24"/>
      <c r="E335" s="24"/>
      <c r="F335" s="24"/>
      <c r="G335" s="24"/>
      <c r="H335" s="24"/>
      <c r="I335" s="38">
        <f>J330+J331+J332+J333</f>
        <v>654.49000000000012</v>
      </c>
      <c r="J335" s="38"/>
      <c r="K335" s="25">
        <f>IF(Source!I214&lt;&gt;0, ROUND(I335/Source!I214, 2), 0)</f>
        <v>654.49</v>
      </c>
      <c r="P335" s="23">
        <f>I335</f>
        <v>654.49000000000012</v>
      </c>
    </row>
    <row r="336" spans="1:22" ht="57" x14ac:dyDescent="0.2">
      <c r="A336" s="18">
        <v>38</v>
      </c>
      <c r="B336" s="18" t="str">
        <f>Source!F215</f>
        <v>1.21-2203-19-1/1</v>
      </c>
      <c r="C336" s="18" t="str">
        <f>Source!G215</f>
        <v>Техническое обслуживание шкафа устройства автоматического включения резерва (АВР) с основным и резервным вводом</v>
      </c>
      <c r="D336" s="19" t="str">
        <f>Source!H215</f>
        <v>шт.</v>
      </c>
      <c r="E336" s="9">
        <f>Source!I215</f>
        <v>1</v>
      </c>
      <c r="F336" s="21"/>
      <c r="G336" s="20"/>
      <c r="H336" s="9"/>
      <c r="I336" s="9"/>
      <c r="J336" s="21"/>
      <c r="K336" s="21"/>
      <c r="Q336">
        <f>ROUND((Source!BZ215/100)*ROUND((Source!AF215*Source!AV215)*Source!I215, 2), 2)</f>
        <v>321.89999999999998</v>
      </c>
      <c r="R336">
        <f>Source!X215</f>
        <v>321.89999999999998</v>
      </c>
      <c r="S336">
        <f>ROUND((Source!CA215/100)*ROUND((Source!AF215*Source!AV215)*Source!I215, 2), 2)</f>
        <v>45.99</v>
      </c>
      <c r="T336">
        <f>Source!Y215</f>
        <v>45.99</v>
      </c>
      <c r="U336">
        <f>ROUND((175/100)*ROUND((Source!AE215*Source!AV215)*Source!I215, 2), 2)</f>
        <v>84.88</v>
      </c>
      <c r="V336">
        <f>ROUND((108/100)*ROUND(Source!CS215*Source!I215, 2), 2)</f>
        <v>52.38</v>
      </c>
    </row>
    <row r="337" spans="1:22" ht="14.25" x14ac:dyDescent="0.2">
      <c r="A337" s="18"/>
      <c r="B337" s="18"/>
      <c r="C337" s="18" t="s">
        <v>641</v>
      </c>
      <c r="D337" s="19"/>
      <c r="E337" s="9"/>
      <c r="F337" s="21">
        <f>Source!AO215</f>
        <v>229.93</v>
      </c>
      <c r="G337" s="20" t="str">
        <f>Source!DG215</f>
        <v>)*2</v>
      </c>
      <c r="H337" s="9">
        <f>Source!AV215</f>
        <v>1</v>
      </c>
      <c r="I337" s="9">
        <f>IF(Source!BA215&lt;&gt; 0, Source!BA215, 1)</f>
        <v>1</v>
      </c>
      <c r="J337" s="21">
        <f>Source!S215</f>
        <v>459.86</v>
      </c>
      <c r="K337" s="21"/>
    </row>
    <row r="338" spans="1:22" ht="14.25" x14ac:dyDescent="0.2">
      <c r="A338" s="18"/>
      <c r="B338" s="18"/>
      <c r="C338" s="18" t="s">
        <v>647</v>
      </c>
      <c r="D338" s="19"/>
      <c r="E338" s="9"/>
      <c r="F338" s="21">
        <f>Source!AM215</f>
        <v>44.71</v>
      </c>
      <c r="G338" s="20" t="str">
        <f>Source!DE215</f>
        <v>)*2</v>
      </c>
      <c r="H338" s="9">
        <f>Source!AV215</f>
        <v>1</v>
      </c>
      <c r="I338" s="9">
        <f>IF(Source!BB215&lt;&gt; 0, Source!BB215, 1)</f>
        <v>1</v>
      </c>
      <c r="J338" s="21">
        <f>Source!Q215</f>
        <v>89.42</v>
      </c>
      <c r="K338" s="21"/>
    </row>
    <row r="339" spans="1:22" ht="14.25" x14ac:dyDescent="0.2">
      <c r="A339" s="18"/>
      <c r="B339" s="18"/>
      <c r="C339" s="18" t="s">
        <v>648</v>
      </c>
      <c r="D339" s="19"/>
      <c r="E339" s="9"/>
      <c r="F339" s="21">
        <f>Source!AN215</f>
        <v>24.25</v>
      </c>
      <c r="G339" s="20" t="str">
        <f>Source!DF215</f>
        <v>)*2</v>
      </c>
      <c r="H339" s="9">
        <f>Source!AV215</f>
        <v>1</v>
      </c>
      <c r="I339" s="9">
        <f>IF(Source!BS215&lt;&gt; 0, Source!BS215, 1)</f>
        <v>1</v>
      </c>
      <c r="J339" s="26">
        <f>Source!R215</f>
        <v>48.5</v>
      </c>
      <c r="K339" s="21"/>
    </row>
    <row r="340" spans="1:22" ht="14.25" x14ac:dyDescent="0.2">
      <c r="A340" s="18"/>
      <c r="B340" s="18"/>
      <c r="C340" s="18" t="s">
        <v>649</v>
      </c>
      <c r="D340" s="19"/>
      <c r="E340" s="9"/>
      <c r="F340" s="21">
        <f>Source!AL215</f>
        <v>0.08</v>
      </c>
      <c r="G340" s="20" t="str">
        <f>Source!DD215</f>
        <v>)*2</v>
      </c>
      <c r="H340" s="9">
        <f>Source!AW215</f>
        <v>1</v>
      </c>
      <c r="I340" s="9">
        <f>IF(Source!BC215&lt;&gt; 0, Source!BC215, 1)</f>
        <v>1</v>
      </c>
      <c r="J340" s="21">
        <f>Source!P215</f>
        <v>0.16</v>
      </c>
      <c r="K340" s="21"/>
    </row>
    <row r="341" spans="1:22" ht="14.25" x14ac:dyDescent="0.2">
      <c r="A341" s="18"/>
      <c r="B341" s="18"/>
      <c r="C341" s="18" t="s">
        <v>642</v>
      </c>
      <c r="D341" s="19" t="s">
        <v>643</v>
      </c>
      <c r="E341" s="9">
        <f>Source!AT215</f>
        <v>70</v>
      </c>
      <c r="F341" s="21"/>
      <c r="G341" s="20"/>
      <c r="H341" s="9"/>
      <c r="I341" s="9"/>
      <c r="J341" s="21">
        <f>SUM(R336:R340)</f>
        <v>321.89999999999998</v>
      </c>
      <c r="K341" s="21"/>
    </row>
    <row r="342" spans="1:22" ht="14.25" x14ac:dyDescent="0.2">
      <c r="A342" s="18"/>
      <c r="B342" s="18"/>
      <c r="C342" s="18" t="s">
        <v>644</v>
      </c>
      <c r="D342" s="19" t="s">
        <v>643</v>
      </c>
      <c r="E342" s="9">
        <f>Source!AU215</f>
        <v>10</v>
      </c>
      <c r="F342" s="21"/>
      <c r="G342" s="20"/>
      <c r="H342" s="9"/>
      <c r="I342" s="9"/>
      <c r="J342" s="21">
        <f>SUM(T336:T341)</f>
        <v>45.99</v>
      </c>
      <c r="K342" s="21"/>
    </row>
    <row r="343" spans="1:22" ht="14.25" x14ac:dyDescent="0.2">
      <c r="A343" s="18"/>
      <c r="B343" s="18"/>
      <c r="C343" s="18" t="s">
        <v>650</v>
      </c>
      <c r="D343" s="19" t="s">
        <v>643</v>
      </c>
      <c r="E343" s="9">
        <f>108</f>
        <v>108</v>
      </c>
      <c r="F343" s="21"/>
      <c r="G343" s="20"/>
      <c r="H343" s="9"/>
      <c r="I343" s="9"/>
      <c r="J343" s="21">
        <f>SUM(V336:V342)</f>
        <v>52.38</v>
      </c>
      <c r="K343" s="21"/>
    </row>
    <row r="344" spans="1:22" ht="14.25" x14ac:dyDescent="0.2">
      <c r="A344" s="18"/>
      <c r="B344" s="18"/>
      <c r="C344" s="18" t="s">
        <v>645</v>
      </c>
      <c r="D344" s="19" t="s">
        <v>646</v>
      </c>
      <c r="E344" s="9">
        <f>Source!AQ215</f>
        <v>0.5</v>
      </c>
      <c r="F344" s="21"/>
      <c r="G344" s="20" t="str">
        <f>Source!DI215</f>
        <v>)*2</v>
      </c>
      <c r="H344" s="9">
        <f>Source!AV215</f>
        <v>1</v>
      </c>
      <c r="I344" s="9"/>
      <c r="J344" s="21"/>
      <c r="K344" s="21">
        <f>Source!U215</f>
        <v>1</v>
      </c>
    </row>
    <row r="345" spans="1:22" ht="15" x14ac:dyDescent="0.25">
      <c r="A345" s="24"/>
      <c r="B345" s="24"/>
      <c r="C345" s="24"/>
      <c r="D345" s="24"/>
      <c r="E345" s="24"/>
      <c r="F345" s="24"/>
      <c r="G345" s="24"/>
      <c r="H345" s="24"/>
      <c r="I345" s="38">
        <f>J337+J338+J340+J341+J342+J343</f>
        <v>969.70999999999992</v>
      </c>
      <c r="J345" s="38"/>
      <c r="K345" s="25">
        <f>IF(Source!I215&lt;&gt;0, ROUND(I345/Source!I215, 2), 0)</f>
        <v>969.71</v>
      </c>
      <c r="P345" s="23">
        <f>I345</f>
        <v>969.70999999999992</v>
      </c>
    </row>
    <row r="346" spans="1:22" ht="42.75" x14ac:dyDescent="0.2">
      <c r="A346" s="18">
        <v>39</v>
      </c>
      <c r="B346" s="18" t="str">
        <f>Source!F216</f>
        <v>1.21-2201-15-1/1</v>
      </c>
      <c r="C346" s="18" t="str">
        <f>Source!G216</f>
        <v>Осмотр установки компенсации реактивной мощности (УКРМ) 150 кВАр с регулятором типа LSA - ежедневный</v>
      </c>
      <c r="D346" s="19" t="str">
        <f>Source!H216</f>
        <v>шкаф</v>
      </c>
      <c r="E346" s="9">
        <f>Source!I216</f>
        <v>1</v>
      </c>
      <c r="F346" s="21"/>
      <c r="G346" s="20"/>
      <c r="H346" s="9"/>
      <c r="I346" s="9"/>
      <c r="J346" s="21"/>
      <c r="K346" s="21"/>
      <c r="Q346">
        <f>ROUND((Source!BZ216/100)*ROUND((Source!AF216*Source!AV216)*Source!I216, 2), 2)</f>
        <v>3191.66</v>
      </c>
      <c r="R346">
        <f>Source!X216</f>
        <v>3191.66</v>
      </c>
      <c r="S346">
        <f>ROUND((Source!CA216/100)*ROUND((Source!AF216*Source!AV216)*Source!I216, 2), 2)</f>
        <v>455.95</v>
      </c>
      <c r="T346">
        <f>Source!Y216</f>
        <v>455.95</v>
      </c>
      <c r="U346">
        <f>ROUND((175/100)*ROUND((Source!AE216*Source!AV216)*Source!I216, 2), 2)</f>
        <v>0</v>
      </c>
      <c r="V346">
        <f>ROUND((108/100)*ROUND(Source!CS216*Source!I216, 2), 2)</f>
        <v>0</v>
      </c>
    </row>
    <row r="347" spans="1:22" ht="14.25" x14ac:dyDescent="0.2">
      <c r="A347" s="18"/>
      <c r="B347" s="18"/>
      <c r="C347" s="18" t="s">
        <v>641</v>
      </c>
      <c r="D347" s="19"/>
      <c r="E347" s="9"/>
      <c r="F347" s="21">
        <f>Source!AO216</f>
        <v>38.64</v>
      </c>
      <c r="G347" s="20" t="str">
        <f>Source!DG216</f>
        <v>)*118</v>
      </c>
      <c r="H347" s="9">
        <f>Source!AV216</f>
        <v>1</v>
      </c>
      <c r="I347" s="9">
        <f>IF(Source!BA216&lt;&gt; 0, Source!BA216, 1)</f>
        <v>1</v>
      </c>
      <c r="J347" s="21">
        <f>Source!S216</f>
        <v>4559.5200000000004</v>
      </c>
      <c r="K347" s="21"/>
    </row>
    <row r="348" spans="1:22" ht="14.25" x14ac:dyDescent="0.2">
      <c r="A348" s="18"/>
      <c r="B348" s="18"/>
      <c r="C348" s="18" t="s">
        <v>642</v>
      </c>
      <c r="D348" s="19" t="s">
        <v>643</v>
      </c>
      <c r="E348" s="9">
        <f>Source!AT216</f>
        <v>70</v>
      </c>
      <c r="F348" s="21"/>
      <c r="G348" s="20"/>
      <c r="H348" s="9"/>
      <c r="I348" s="9"/>
      <c r="J348" s="21">
        <f>SUM(R346:R347)</f>
        <v>3191.66</v>
      </c>
      <c r="K348" s="21"/>
    </row>
    <row r="349" spans="1:22" ht="14.25" x14ac:dyDescent="0.2">
      <c r="A349" s="18"/>
      <c r="B349" s="18"/>
      <c r="C349" s="18" t="s">
        <v>644</v>
      </c>
      <c r="D349" s="19" t="s">
        <v>643</v>
      </c>
      <c r="E349" s="9">
        <f>Source!AU216</f>
        <v>10</v>
      </c>
      <c r="F349" s="21"/>
      <c r="G349" s="20"/>
      <c r="H349" s="9"/>
      <c r="I349" s="9"/>
      <c r="J349" s="21">
        <f>SUM(T346:T348)</f>
        <v>455.95</v>
      </c>
      <c r="K349" s="21"/>
    </row>
    <row r="350" spans="1:22" ht="14.25" x14ac:dyDescent="0.2">
      <c r="A350" s="18"/>
      <c r="B350" s="18"/>
      <c r="C350" s="18" t="s">
        <v>645</v>
      </c>
      <c r="D350" s="19" t="s">
        <v>646</v>
      </c>
      <c r="E350" s="9">
        <f>Source!AQ216</f>
        <v>0.08</v>
      </c>
      <c r="F350" s="21"/>
      <c r="G350" s="20" t="str">
        <f>Source!DI216</f>
        <v>)*118</v>
      </c>
      <c r="H350" s="9">
        <f>Source!AV216</f>
        <v>1</v>
      </c>
      <c r="I350" s="9"/>
      <c r="J350" s="21"/>
      <c r="K350" s="21">
        <f>Source!U216</f>
        <v>9.44</v>
      </c>
    </row>
    <row r="351" spans="1:22" ht="15" x14ac:dyDescent="0.25">
      <c r="A351" s="24"/>
      <c r="B351" s="24"/>
      <c r="C351" s="24"/>
      <c r="D351" s="24"/>
      <c r="E351" s="24"/>
      <c r="F351" s="24"/>
      <c r="G351" s="24"/>
      <c r="H351" s="24"/>
      <c r="I351" s="38">
        <f>J347+J348+J349</f>
        <v>8207.130000000001</v>
      </c>
      <c r="J351" s="38"/>
      <c r="K351" s="25">
        <f>IF(Source!I216&lt;&gt;0, ROUND(I351/Source!I216, 2), 0)</f>
        <v>8207.1299999999992</v>
      </c>
      <c r="P351" s="23">
        <f>I351</f>
        <v>8207.130000000001</v>
      </c>
    </row>
    <row r="352" spans="1:22" ht="42.75" x14ac:dyDescent="0.2">
      <c r="A352" s="18">
        <v>40</v>
      </c>
      <c r="B352" s="18" t="str">
        <f>Source!F217</f>
        <v>1.21-2201-15-2/1</v>
      </c>
      <c r="C352" s="18" t="str">
        <f>Source!G217</f>
        <v>Осмотр установки компенсации реактивной мощности (УКРМ) 150 кВАр с регулятором типа LSA - ежемесячный</v>
      </c>
      <c r="D352" s="19" t="str">
        <f>Source!H217</f>
        <v>шкаф</v>
      </c>
      <c r="E352" s="9">
        <f>Source!I217</f>
        <v>1</v>
      </c>
      <c r="F352" s="21"/>
      <c r="G352" s="20"/>
      <c r="H352" s="9"/>
      <c r="I352" s="9"/>
      <c r="J352" s="21"/>
      <c r="K352" s="21"/>
      <c r="Q352">
        <f>ROUND((Source!BZ217/100)*ROUND((Source!AF217*Source!AV217)*Source!I217, 2), 2)</f>
        <v>324.52</v>
      </c>
      <c r="R352">
        <f>Source!X217</f>
        <v>324.52</v>
      </c>
      <c r="S352">
        <f>ROUND((Source!CA217/100)*ROUND((Source!AF217*Source!AV217)*Source!I217, 2), 2)</f>
        <v>46.36</v>
      </c>
      <c r="T352">
        <f>Source!Y217</f>
        <v>46.36</v>
      </c>
      <c r="U352">
        <f>ROUND((175/100)*ROUND((Source!AE217*Source!AV217)*Source!I217, 2), 2)</f>
        <v>0</v>
      </c>
      <c r="V352">
        <f>ROUND((108/100)*ROUND(Source!CS217*Source!I217, 2), 2)</f>
        <v>0</v>
      </c>
    </row>
    <row r="353" spans="1:22" ht="14.25" x14ac:dyDescent="0.2">
      <c r="A353" s="18"/>
      <c r="B353" s="18"/>
      <c r="C353" s="18" t="s">
        <v>641</v>
      </c>
      <c r="D353" s="19"/>
      <c r="E353" s="9"/>
      <c r="F353" s="21">
        <f>Source!AO217</f>
        <v>115.9</v>
      </c>
      <c r="G353" s="20" t="str">
        <f>Source!DG217</f>
        <v>)*4</v>
      </c>
      <c r="H353" s="9">
        <f>Source!AV217</f>
        <v>1</v>
      </c>
      <c r="I353" s="9">
        <f>IF(Source!BA217&lt;&gt; 0, Source!BA217, 1)</f>
        <v>1</v>
      </c>
      <c r="J353" s="21">
        <f>Source!S217</f>
        <v>463.6</v>
      </c>
      <c r="K353" s="21"/>
    </row>
    <row r="354" spans="1:22" ht="14.25" x14ac:dyDescent="0.2">
      <c r="A354" s="18"/>
      <c r="B354" s="18"/>
      <c r="C354" s="18" t="s">
        <v>642</v>
      </c>
      <c r="D354" s="19" t="s">
        <v>643</v>
      </c>
      <c r="E354" s="9">
        <f>Source!AT217</f>
        <v>70</v>
      </c>
      <c r="F354" s="21"/>
      <c r="G354" s="20"/>
      <c r="H354" s="9"/>
      <c r="I354" s="9"/>
      <c r="J354" s="21">
        <f>SUM(R352:R353)</f>
        <v>324.52</v>
      </c>
      <c r="K354" s="21"/>
    </row>
    <row r="355" spans="1:22" ht="14.25" x14ac:dyDescent="0.2">
      <c r="A355" s="18"/>
      <c r="B355" s="18"/>
      <c r="C355" s="18" t="s">
        <v>644</v>
      </c>
      <c r="D355" s="19" t="s">
        <v>643</v>
      </c>
      <c r="E355" s="9">
        <f>Source!AU217</f>
        <v>10</v>
      </c>
      <c r="F355" s="21"/>
      <c r="G355" s="20"/>
      <c r="H355" s="9"/>
      <c r="I355" s="9"/>
      <c r="J355" s="21">
        <f>SUM(T352:T354)</f>
        <v>46.36</v>
      </c>
      <c r="K355" s="21"/>
    </row>
    <row r="356" spans="1:22" ht="14.25" x14ac:dyDescent="0.2">
      <c r="A356" s="18"/>
      <c r="B356" s="18"/>
      <c r="C356" s="18" t="s">
        <v>645</v>
      </c>
      <c r="D356" s="19" t="s">
        <v>646</v>
      </c>
      <c r="E356" s="9">
        <f>Source!AQ217</f>
        <v>0.24</v>
      </c>
      <c r="F356" s="21"/>
      <c r="G356" s="20" t="str">
        <f>Source!DI217</f>
        <v>)*4</v>
      </c>
      <c r="H356" s="9">
        <f>Source!AV217</f>
        <v>1</v>
      </c>
      <c r="I356" s="9"/>
      <c r="J356" s="21"/>
      <c r="K356" s="21">
        <f>Source!U217</f>
        <v>0.96</v>
      </c>
    </row>
    <row r="357" spans="1:22" ht="15" x14ac:dyDescent="0.25">
      <c r="A357" s="24"/>
      <c r="B357" s="24"/>
      <c r="C357" s="24"/>
      <c r="D357" s="24"/>
      <c r="E357" s="24"/>
      <c r="F357" s="24"/>
      <c r="G357" s="24"/>
      <c r="H357" s="24"/>
      <c r="I357" s="38">
        <f>J353+J354+J355</f>
        <v>834.48</v>
      </c>
      <c r="J357" s="38"/>
      <c r="K357" s="25">
        <f>IF(Source!I217&lt;&gt;0, ROUND(I357/Source!I217, 2), 0)</f>
        <v>834.48</v>
      </c>
      <c r="P357" s="23">
        <f>I357</f>
        <v>834.48</v>
      </c>
    </row>
    <row r="358" spans="1:22" ht="99.75" x14ac:dyDescent="0.2">
      <c r="A358" s="18">
        <v>41</v>
      </c>
      <c r="B358" s="18" t="str">
        <f>Source!F218</f>
        <v>1.21-2203-36-1/1</v>
      </c>
      <c r="C358" s="18" t="str">
        <f>Source!G218</f>
        <v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полугодовое</v>
      </c>
      <c r="D358" s="19" t="str">
        <f>Source!H218</f>
        <v>шкаф</v>
      </c>
      <c r="E358" s="9">
        <f>Source!I218</f>
        <v>1</v>
      </c>
      <c r="F358" s="21"/>
      <c r="G358" s="20"/>
      <c r="H358" s="9"/>
      <c r="I358" s="9"/>
      <c r="J358" s="21"/>
      <c r="K358" s="21"/>
      <c r="Q358">
        <f>ROUND((Source!BZ218/100)*ROUND((Source!AF218*Source!AV218)*Source!I218, 2), 2)</f>
        <v>782.09</v>
      </c>
      <c r="R358">
        <f>Source!X218</f>
        <v>782.09</v>
      </c>
      <c r="S358">
        <f>ROUND((Source!CA218/100)*ROUND((Source!AF218*Source!AV218)*Source!I218, 2), 2)</f>
        <v>111.73</v>
      </c>
      <c r="T358">
        <f>Source!Y218</f>
        <v>111.73</v>
      </c>
      <c r="U358">
        <f>ROUND((175/100)*ROUND((Source!AE218*Source!AV218)*Source!I218, 2), 2)</f>
        <v>0</v>
      </c>
      <c r="V358">
        <f>ROUND((108/100)*ROUND(Source!CS218*Source!I218, 2), 2)</f>
        <v>0</v>
      </c>
    </row>
    <row r="359" spans="1:22" ht="14.25" x14ac:dyDescent="0.2">
      <c r="A359" s="18"/>
      <c r="B359" s="18"/>
      <c r="C359" s="18" t="s">
        <v>641</v>
      </c>
      <c r="D359" s="19"/>
      <c r="E359" s="9"/>
      <c r="F359" s="21">
        <f>Source!AO218</f>
        <v>1117.27</v>
      </c>
      <c r="G359" s="20" t="str">
        <f>Source!DG218</f>
        <v/>
      </c>
      <c r="H359" s="9">
        <f>Source!AV218</f>
        <v>1</v>
      </c>
      <c r="I359" s="9">
        <f>IF(Source!BA218&lt;&gt; 0, Source!BA218, 1)</f>
        <v>1</v>
      </c>
      <c r="J359" s="21">
        <f>Source!S218</f>
        <v>1117.27</v>
      </c>
      <c r="K359" s="21"/>
    </row>
    <row r="360" spans="1:22" ht="14.25" x14ac:dyDescent="0.2">
      <c r="A360" s="18"/>
      <c r="B360" s="18"/>
      <c r="C360" s="18" t="s">
        <v>647</v>
      </c>
      <c r="D360" s="19"/>
      <c r="E360" s="9"/>
      <c r="F360" s="21">
        <f>Source!AM218</f>
        <v>0.85</v>
      </c>
      <c r="G360" s="20" t="str">
        <f>Source!DE218</f>
        <v/>
      </c>
      <c r="H360" s="9">
        <f>Source!AV218</f>
        <v>1</v>
      </c>
      <c r="I360" s="9">
        <f>IF(Source!BB218&lt;&gt; 0, Source!BB218, 1)</f>
        <v>1</v>
      </c>
      <c r="J360" s="21">
        <f>Source!Q218</f>
        <v>0.85</v>
      </c>
      <c r="K360" s="21"/>
    </row>
    <row r="361" spans="1:22" ht="14.25" x14ac:dyDescent="0.2">
      <c r="A361" s="18"/>
      <c r="B361" s="18"/>
      <c r="C361" s="18" t="s">
        <v>649</v>
      </c>
      <c r="D361" s="19"/>
      <c r="E361" s="9"/>
      <c r="F361" s="21">
        <f>Source!AL218</f>
        <v>20.52</v>
      </c>
      <c r="G361" s="20" t="str">
        <f>Source!DD218</f>
        <v/>
      </c>
      <c r="H361" s="9">
        <f>Source!AW218</f>
        <v>1</v>
      </c>
      <c r="I361" s="9">
        <f>IF(Source!BC218&lt;&gt; 0, Source!BC218, 1)</f>
        <v>1</v>
      </c>
      <c r="J361" s="21">
        <f>Source!P218</f>
        <v>20.52</v>
      </c>
      <c r="K361" s="21"/>
    </row>
    <row r="362" spans="1:22" ht="14.25" x14ac:dyDescent="0.2">
      <c r="A362" s="18"/>
      <c r="B362" s="18"/>
      <c r="C362" s="18" t="s">
        <v>642</v>
      </c>
      <c r="D362" s="19" t="s">
        <v>643</v>
      </c>
      <c r="E362" s="9">
        <f>Source!AT218</f>
        <v>70</v>
      </c>
      <c r="F362" s="21"/>
      <c r="G362" s="20"/>
      <c r="H362" s="9"/>
      <c r="I362" s="9"/>
      <c r="J362" s="21">
        <f>SUM(R358:R361)</f>
        <v>782.09</v>
      </c>
      <c r="K362" s="21"/>
    </row>
    <row r="363" spans="1:22" ht="14.25" x14ac:dyDescent="0.2">
      <c r="A363" s="18"/>
      <c r="B363" s="18"/>
      <c r="C363" s="18" t="s">
        <v>644</v>
      </c>
      <c r="D363" s="19" t="s">
        <v>643</v>
      </c>
      <c r="E363" s="9">
        <f>Source!AU218</f>
        <v>10</v>
      </c>
      <c r="F363" s="21"/>
      <c r="G363" s="20"/>
      <c r="H363" s="9"/>
      <c r="I363" s="9"/>
      <c r="J363" s="21">
        <f>SUM(T358:T362)</f>
        <v>111.73</v>
      </c>
      <c r="K363" s="21"/>
    </row>
    <row r="364" spans="1:22" ht="14.25" x14ac:dyDescent="0.2">
      <c r="A364" s="18"/>
      <c r="B364" s="18"/>
      <c r="C364" s="18" t="s">
        <v>645</v>
      </c>
      <c r="D364" s="19" t="s">
        <v>646</v>
      </c>
      <c r="E364" s="9">
        <f>Source!AQ218</f>
        <v>1.96</v>
      </c>
      <c r="F364" s="21"/>
      <c r="G364" s="20" t="str">
        <f>Source!DI218</f>
        <v/>
      </c>
      <c r="H364" s="9">
        <f>Source!AV218</f>
        <v>1</v>
      </c>
      <c r="I364" s="9"/>
      <c r="J364" s="21"/>
      <c r="K364" s="21">
        <f>Source!U218</f>
        <v>1.96</v>
      </c>
    </row>
    <row r="365" spans="1:22" ht="15" x14ac:dyDescent="0.25">
      <c r="A365" s="24"/>
      <c r="B365" s="24"/>
      <c r="C365" s="24"/>
      <c r="D365" s="24"/>
      <c r="E365" s="24"/>
      <c r="F365" s="24"/>
      <c r="G365" s="24"/>
      <c r="H365" s="24"/>
      <c r="I365" s="38">
        <f>J359+J360+J361+J362+J363</f>
        <v>2032.46</v>
      </c>
      <c r="J365" s="38"/>
      <c r="K365" s="25">
        <f>IF(Source!I218&lt;&gt;0, ROUND(I365/Source!I218, 2), 0)</f>
        <v>2032.46</v>
      </c>
      <c r="P365" s="23">
        <f>I365</f>
        <v>2032.46</v>
      </c>
    </row>
    <row r="366" spans="1:22" ht="99.75" x14ac:dyDescent="0.2">
      <c r="A366" s="18">
        <v>42</v>
      </c>
      <c r="B366" s="18" t="str">
        <f>Source!F219</f>
        <v>1.21-2203-36-2/1</v>
      </c>
      <c r="C366" s="18" t="str">
        <f>Source!G219</f>
        <v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годовое</v>
      </c>
      <c r="D366" s="19" t="str">
        <f>Source!H219</f>
        <v>шкаф</v>
      </c>
      <c r="E366" s="9">
        <f>Source!I219</f>
        <v>1</v>
      </c>
      <c r="F366" s="21"/>
      <c r="G366" s="20"/>
      <c r="H366" s="9"/>
      <c r="I366" s="9"/>
      <c r="J366" s="21"/>
      <c r="K366" s="21"/>
      <c r="Q366">
        <f>ROUND((Source!BZ219/100)*ROUND((Source!AF219*Source!AV219)*Source!I219, 2), 2)</f>
        <v>901.8</v>
      </c>
      <c r="R366">
        <f>Source!X219</f>
        <v>901.8</v>
      </c>
      <c r="S366">
        <f>ROUND((Source!CA219/100)*ROUND((Source!AF219*Source!AV219)*Source!I219, 2), 2)</f>
        <v>128.83000000000001</v>
      </c>
      <c r="T366">
        <f>Source!Y219</f>
        <v>128.83000000000001</v>
      </c>
      <c r="U366">
        <f>ROUND((175/100)*ROUND((Source!AE219*Source!AV219)*Source!I219, 2), 2)</f>
        <v>0</v>
      </c>
      <c r="V366">
        <f>ROUND((108/100)*ROUND(Source!CS219*Source!I219, 2), 2)</f>
        <v>0</v>
      </c>
    </row>
    <row r="367" spans="1:22" ht="14.25" x14ac:dyDescent="0.2">
      <c r="A367" s="18"/>
      <c r="B367" s="18"/>
      <c r="C367" s="18" t="s">
        <v>641</v>
      </c>
      <c r="D367" s="19"/>
      <c r="E367" s="9"/>
      <c r="F367" s="21">
        <f>Source!AO219</f>
        <v>1288.28</v>
      </c>
      <c r="G367" s="20" t="str">
        <f>Source!DG219</f>
        <v/>
      </c>
      <c r="H367" s="9">
        <f>Source!AV219</f>
        <v>1</v>
      </c>
      <c r="I367" s="9">
        <f>IF(Source!BA219&lt;&gt; 0, Source!BA219, 1)</f>
        <v>1</v>
      </c>
      <c r="J367" s="21">
        <f>Source!S219</f>
        <v>1288.28</v>
      </c>
      <c r="K367" s="21"/>
    </row>
    <row r="368" spans="1:22" ht="14.25" x14ac:dyDescent="0.2">
      <c r="A368" s="18"/>
      <c r="B368" s="18"/>
      <c r="C368" s="18" t="s">
        <v>647</v>
      </c>
      <c r="D368" s="19"/>
      <c r="E368" s="9"/>
      <c r="F368" s="21">
        <f>Source!AM219</f>
        <v>0.85</v>
      </c>
      <c r="G368" s="20" t="str">
        <f>Source!DE219</f>
        <v/>
      </c>
      <c r="H368" s="9">
        <f>Source!AV219</f>
        <v>1</v>
      </c>
      <c r="I368" s="9">
        <f>IF(Source!BB219&lt;&gt; 0, Source!BB219, 1)</f>
        <v>1</v>
      </c>
      <c r="J368" s="21">
        <f>Source!Q219</f>
        <v>0.85</v>
      </c>
      <c r="K368" s="21"/>
    </row>
    <row r="369" spans="1:22" ht="14.25" x14ac:dyDescent="0.2">
      <c r="A369" s="18"/>
      <c r="B369" s="18"/>
      <c r="C369" s="18" t="s">
        <v>649</v>
      </c>
      <c r="D369" s="19"/>
      <c r="E369" s="9"/>
      <c r="F369" s="21">
        <f>Source!AL219</f>
        <v>25.34</v>
      </c>
      <c r="G369" s="20" t="str">
        <f>Source!DD219</f>
        <v/>
      </c>
      <c r="H369" s="9">
        <f>Source!AW219</f>
        <v>1</v>
      </c>
      <c r="I369" s="9">
        <f>IF(Source!BC219&lt;&gt; 0, Source!BC219, 1)</f>
        <v>1</v>
      </c>
      <c r="J369" s="21">
        <f>Source!P219</f>
        <v>25.34</v>
      </c>
      <c r="K369" s="21"/>
    </row>
    <row r="370" spans="1:22" ht="14.25" x14ac:dyDescent="0.2">
      <c r="A370" s="18"/>
      <c r="B370" s="18"/>
      <c r="C370" s="18" t="s">
        <v>642</v>
      </c>
      <c r="D370" s="19" t="s">
        <v>643</v>
      </c>
      <c r="E370" s="9">
        <f>Source!AT219</f>
        <v>70</v>
      </c>
      <c r="F370" s="21"/>
      <c r="G370" s="20"/>
      <c r="H370" s="9"/>
      <c r="I370" s="9"/>
      <c r="J370" s="21">
        <f>SUM(R366:R369)</f>
        <v>901.8</v>
      </c>
      <c r="K370" s="21"/>
    </row>
    <row r="371" spans="1:22" ht="14.25" x14ac:dyDescent="0.2">
      <c r="A371" s="18"/>
      <c r="B371" s="18"/>
      <c r="C371" s="18" t="s">
        <v>644</v>
      </c>
      <c r="D371" s="19" t="s">
        <v>643</v>
      </c>
      <c r="E371" s="9">
        <f>Source!AU219</f>
        <v>10</v>
      </c>
      <c r="F371" s="21"/>
      <c r="G371" s="20"/>
      <c r="H371" s="9"/>
      <c r="I371" s="9"/>
      <c r="J371" s="21">
        <f>SUM(T366:T370)</f>
        <v>128.83000000000001</v>
      </c>
      <c r="K371" s="21"/>
    </row>
    <row r="372" spans="1:22" ht="14.25" x14ac:dyDescent="0.2">
      <c r="A372" s="18"/>
      <c r="B372" s="18"/>
      <c r="C372" s="18" t="s">
        <v>645</v>
      </c>
      <c r="D372" s="19" t="s">
        <v>646</v>
      </c>
      <c r="E372" s="9">
        <f>Source!AQ219</f>
        <v>2.2599999999999998</v>
      </c>
      <c r="F372" s="21"/>
      <c r="G372" s="20" t="str">
        <f>Source!DI219</f>
        <v/>
      </c>
      <c r="H372" s="9">
        <f>Source!AV219</f>
        <v>1</v>
      </c>
      <c r="I372" s="9"/>
      <c r="J372" s="21"/>
      <c r="K372" s="21">
        <f>Source!U219</f>
        <v>2.2599999999999998</v>
      </c>
    </row>
    <row r="373" spans="1:22" ht="15" x14ac:dyDescent="0.25">
      <c r="A373" s="24"/>
      <c r="B373" s="24"/>
      <c r="C373" s="24"/>
      <c r="D373" s="24"/>
      <c r="E373" s="24"/>
      <c r="F373" s="24"/>
      <c r="G373" s="24"/>
      <c r="H373" s="24"/>
      <c r="I373" s="38">
        <f>J367+J368+J369+J370+J371</f>
        <v>2345.0999999999995</v>
      </c>
      <c r="J373" s="38"/>
      <c r="K373" s="25">
        <f>IF(Source!I219&lt;&gt;0, ROUND(I373/Source!I219, 2), 0)</f>
        <v>2345.1</v>
      </c>
      <c r="P373" s="23">
        <f>I373</f>
        <v>2345.0999999999995</v>
      </c>
    </row>
    <row r="374" spans="1:22" ht="57" x14ac:dyDescent="0.2">
      <c r="A374" s="18">
        <v>43</v>
      </c>
      <c r="B374" s="18" t="str">
        <f>Source!F220</f>
        <v>1.21-2203-18-2/1</v>
      </c>
      <c r="C374" s="18" t="str">
        <f>Source!G220</f>
        <v>Техническое обслуживание главного распределительного силового щита типа ГРЩ, ГРЩС с количеством вводов 2</v>
      </c>
      <c r="D374" s="19" t="str">
        <f>Source!H220</f>
        <v>шт.</v>
      </c>
      <c r="E374" s="9">
        <f>Source!I220</f>
        <v>8</v>
      </c>
      <c r="F374" s="21"/>
      <c r="G374" s="20"/>
      <c r="H374" s="9"/>
      <c r="I374" s="9"/>
      <c r="J374" s="21"/>
      <c r="K374" s="21"/>
      <c r="Q374">
        <f>ROUND((Source!BZ220/100)*ROUND((Source!AF220*Source!AV220)*Source!I220, 2), 2)</f>
        <v>4326.34</v>
      </c>
      <c r="R374">
        <f>Source!X220</f>
        <v>4326.34</v>
      </c>
      <c r="S374">
        <f>ROUND((Source!CA220/100)*ROUND((Source!AF220*Source!AV220)*Source!I220, 2), 2)</f>
        <v>618.04999999999995</v>
      </c>
      <c r="T374">
        <f>Source!Y220</f>
        <v>618.04999999999995</v>
      </c>
      <c r="U374">
        <f>ROUND((175/100)*ROUND((Source!AE220*Source!AV220)*Source!I220, 2), 2)</f>
        <v>1018.64</v>
      </c>
      <c r="V374">
        <f>ROUND((108/100)*ROUND(Source!CS220*Source!I220, 2), 2)</f>
        <v>628.65</v>
      </c>
    </row>
    <row r="375" spans="1:22" ht="14.25" x14ac:dyDescent="0.2">
      <c r="A375" s="18"/>
      <c r="B375" s="18"/>
      <c r="C375" s="18" t="s">
        <v>641</v>
      </c>
      <c r="D375" s="19"/>
      <c r="E375" s="9"/>
      <c r="F375" s="21">
        <f>Source!AO220</f>
        <v>772.56</v>
      </c>
      <c r="G375" s="20" t="str">
        <f>Source!DG220</f>
        <v/>
      </c>
      <c r="H375" s="9">
        <f>Source!AV220</f>
        <v>1</v>
      </c>
      <c r="I375" s="9">
        <f>IF(Source!BA220&lt;&gt; 0, Source!BA220, 1)</f>
        <v>1</v>
      </c>
      <c r="J375" s="21">
        <f>Source!S220</f>
        <v>6180.48</v>
      </c>
      <c r="K375" s="21"/>
    </row>
    <row r="376" spans="1:22" ht="14.25" x14ac:dyDescent="0.2">
      <c r="A376" s="18"/>
      <c r="B376" s="18"/>
      <c r="C376" s="18" t="s">
        <v>647</v>
      </c>
      <c r="D376" s="19"/>
      <c r="E376" s="9"/>
      <c r="F376" s="21">
        <f>Source!AM220</f>
        <v>134.13999999999999</v>
      </c>
      <c r="G376" s="20" t="str">
        <f>Source!DE220</f>
        <v/>
      </c>
      <c r="H376" s="9">
        <f>Source!AV220</f>
        <v>1</v>
      </c>
      <c r="I376" s="9">
        <f>IF(Source!BB220&lt;&gt; 0, Source!BB220, 1)</f>
        <v>1</v>
      </c>
      <c r="J376" s="21">
        <f>Source!Q220</f>
        <v>1073.1199999999999</v>
      </c>
      <c r="K376" s="21"/>
    </row>
    <row r="377" spans="1:22" ht="14.25" x14ac:dyDescent="0.2">
      <c r="A377" s="18"/>
      <c r="B377" s="18"/>
      <c r="C377" s="18" t="s">
        <v>648</v>
      </c>
      <c r="D377" s="19"/>
      <c r="E377" s="9"/>
      <c r="F377" s="21">
        <f>Source!AN220</f>
        <v>72.760000000000005</v>
      </c>
      <c r="G377" s="20" t="str">
        <f>Source!DF220</f>
        <v/>
      </c>
      <c r="H377" s="9">
        <f>Source!AV220</f>
        <v>1</v>
      </c>
      <c r="I377" s="9">
        <f>IF(Source!BS220&lt;&gt; 0, Source!BS220, 1)</f>
        <v>1</v>
      </c>
      <c r="J377" s="26">
        <f>Source!R220</f>
        <v>582.08000000000004</v>
      </c>
      <c r="K377" s="21"/>
    </row>
    <row r="378" spans="1:22" ht="14.25" x14ac:dyDescent="0.2">
      <c r="A378" s="18"/>
      <c r="B378" s="18"/>
      <c r="C378" s="18" t="s">
        <v>649</v>
      </c>
      <c r="D378" s="19"/>
      <c r="E378" s="9"/>
      <c r="F378" s="21">
        <f>Source!AL220</f>
        <v>0.52</v>
      </c>
      <c r="G378" s="20" t="str">
        <f>Source!DD220</f>
        <v/>
      </c>
      <c r="H378" s="9">
        <f>Source!AW220</f>
        <v>1</v>
      </c>
      <c r="I378" s="9">
        <f>IF(Source!BC220&lt;&gt; 0, Source!BC220, 1)</f>
        <v>1</v>
      </c>
      <c r="J378" s="21">
        <f>Source!P220</f>
        <v>4.16</v>
      </c>
      <c r="K378" s="21"/>
    </row>
    <row r="379" spans="1:22" ht="14.25" x14ac:dyDescent="0.2">
      <c r="A379" s="18"/>
      <c r="B379" s="18"/>
      <c r="C379" s="18" t="s">
        <v>642</v>
      </c>
      <c r="D379" s="19" t="s">
        <v>643</v>
      </c>
      <c r="E379" s="9">
        <f>Source!AT220</f>
        <v>70</v>
      </c>
      <c r="F379" s="21"/>
      <c r="G379" s="20"/>
      <c r="H379" s="9"/>
      <c r="I379" s="9"/>
      <c r="J379" s="21">
        <f>SUM(R374:R378)</f>
        <v>4326.34</v>
      </c>
      <c r="K379" s="21"/>
    </row>
    <row r="380" spans="1:22" ht="14.25" x14ac:dyDescent="0.2">
      <c r="A380" s="18"/>
      <c r="B380" s="18"/>
      <c r="C380" s="18" t="s">
        <v>644</v>
      </c>
      <c r="D380" s="19" t="s">
        <v>643</v>
      </c>
      <c r="E380" s="9">
        <f>Source!AU220</f>
        <v>10</v>
      </c>
      <c r="F380" s="21"/>
      <c r="G380" s="20"/>
      <c r="H380" s="9"/>
      <c r="I380" s="9"/>
      <c r="J380" s="21">
        <f>SUM(T374:T379)</f>
        <v>618.04999999999995</v>
      </c>
      <c r="K380" s="21"/>
    </row>
    <row r="381" spans="1:22" ht="14.25" x14ac:dyDescent="0.2">
      <c r="A381" s="18"/>
      <c r="B381" s="18"/>
      <c r="C381" s="18" t="s">
        <v>650</v>
      </c>
      <c r="D381" s="19" t="s">
        <v>643</v>
      </c>
      <c r="E381" s="9">
        <f>108</f>
        <v>108</v>
      </c>
      <c r="F381" s="21"/>
      <c r="G381" s="20"/>
      <c r="H381" s="9"/>
      <c r="I381" s="9"/>
      <c r="J381" s="21">
        <f>SUM(V374:V380)</f>
        <v>628.65</v>
      </c>
      <c r="K381" s="21"/>
    </row>
    <row r="382" spans="1:22" ht="14.25" x14ac:dyDescent="0.2">
      <c r="A382" s="18"/>
      <c r="B382" s="18"/>
      <c r="C382" s="18" t="s">
        <v>645</v>
      </c>
      <c r="D382" s="19" t="s">
        <v>646</v>
      </c>
      <c r="E382" s="9">
        <f>Source!AQ220</f>
        <v>1.68</v>
      </c>
      <c r="F382" s="21"/>
      <c r="G382" s="20" t="str">
        <f>Source!DI220</f>
        <v/>
      </c>
      <c r="H382" s="9">
        <f>Source!AV220</f>
        <v>1</v>
      </c>
      <c r="I382" s="9"/>
      <c r="J382" s="21"/>
      <c r="K382" s="21">
        <f>Source!U220</f>
        <v>13.44</v>
      </c>
    </row>
    <row r="383" spans="1:22" ht="15" x14ac:dyDescent="0.25">
      <c r="A383" s="24"/>
      <c r="B383" s="24"/>
      <c r="C383" s="24"/>
      <c r="D383" s="24"/>
      <c r="E383" s="24"/>
      <c r="F383" s="24"/>
      <c r="G383" s="24"/>
      <c r="H383" s="24"/>
      <c r="I383" s="38">
        <f>J375+J376+J378+J379+J380+J381</f>
        <v>12830.799999999997</v>
      </c>
      <c r="J383" s="38"/>
      <c r="K383" s="25">
        <f>IF(Source!I220&lt;&gt;0, ROUND(I383/Source!I220, 2), 0)</f>
        <v>1603.85</v>
      </c>
      <c r="P383" s="23">
        <f>I383</f>
        <v>12830.799999999997</v>
      </c>
    </row>
    <row r="384" spans="1:22" ht="71.25" x14ac:dyDescent="0.2">
      <c r="A384" s="18">
        <v>44</v>
      </c>
      <c r="B384" s="18" t="str">
        <f>Source!F221</f>
        <v>1.21-2201-24-2/1</v>
      </c>
      <c r="C384" s="18" t="str">
        <f>Source!G221</f>
        <v>Технический осмотр многопанельного вводно-распределительного устройства (ВРУ), панель распределительная, число групп до 16 - ежемесячный</v>
      </c>
      <c r="D384" s="19" t="str">
        <f>Source!H221</f>
        <v>шт.</v>
      </c>
      <c r="E384" s="9">
        <f>Source!I221</f>
        <v>38</v>
      </c>
      <c r="F384" s="21"/>
      <c r="G384" s="20"/>
      <c r="H384" s="9"/>
      <c r="I384" s="9"/>
      <c r="J384" s="21"/>
      <c r="K384" s="21"/>
      <c r="Q384">
        <f>ROUND((Source!BZ221/100)*ROUND((Source!AF221*Source!AV221)*Source!I221, 2), 2)</f>
        <v>12980.8</v>
      </c>
      <c r="R384">
        <f>Source!X221</f>
        <v>12980.8</v>
      </c>
      <c r="S384">
        <f>ROUND((Source!CA221/100)*ROUND((Source!AF221*Source!AV221)*Source!I221, 2), 2)</f>
        <v>1854.4</v>
      </c>
      <c r="T384">
        <f>Source!Y221</f>
        <v>1854.4</v>
      </c>
      <c r="U384">
        <f>ROUND((175/100)*ROUND((Source!AE221*Source!AV221)*Source!I221, 2), 2)</f>
        <v>0</v>
      </c>
      <c r="V384">
        <f>ROUND((108/100)*ROUND(Source!CS221*Source!I221, 2), 2)</f>
        <v>0</v>
      </c>
    </row>
    <row r="385" spans="1:22" ht="14.25" x14ac:dyDescent="0.2">
      <c r="A385" s="18"/>
      <c r="B385" s="18"/>
      <c r="C385" s="18" t="s">
        <v>641</v>
      </c>
      <c r="D385" s="19"/>
      <c r="E385" s="9"/>
      <c r="F385" s="21">
        <f>Source!AO221</f>
        <v>122</v>
      </c>
      <c r="G385" s="20" t="str">
        <f>Source!DG221</f>
        <v>)*4</v>
      </c>
      <c r="H385" s="9">
        <f>Source!AV221</f>
        <v>1</v>
      </c>
      <c r="I385" s="9">
        <f>IF(Source!BA221&lt;&gt; 0, Source!BA221, 1)</f>
        <v>1</v>
      </c>
      <c r="J385" s="21">
        <f>Source!S221</f>
        <v>18544</v>
      </c>
      <c r="K385" s="21"/>
    </row>
    <row r="386" spans="1:22" ht="14.25" x14ac:dyDescent="0.2">
      <c r="A386" s="18"/>
      <c r="B386" s="18"/>
      <c r="C386" s="18" t="s">
        <v>649</v>
      </c>
      <c r="D386" s="19"/>
      <c r="E386" s="9"/>
      <c r="F386" s="21">
        <f>Source!AL221</f>
        <v>1.3</v>
      </c>
      <c r="G386" s="20" t="str">
        <f>Source!DD221</f>
        <v>)*4</v>
      </c>
      <c r="H386" s="9">
        <f>Source!AW221</f>
        <v>1</v>
      </c>
      <c r="I386" s="9">
        <f>IF(Source!BC221&lt;&gt; 0, Source!BC221, 1)</f>
        <v>1</v>
      </c>
      <c r="J386" s="21">
        <f>Source!P221</f>
        <v>197.6</v>
      </c>
      <c r="K386" s="21"/>
    </row>
    <row r="387" spans="1:22" ht="14.25" x14ac:dyDescent="0.2">
      <c r="A387" s="18"/>
      <c r="B387" s="18"/>
      <c r="C387" s="18" t="s">
        <v>642</v>
      </c>
      <c r="D387" s="19" t="s">
        <v>643</v>
      </c>
      <c r="E387" s="9">
        <f>Source!AT221</f>
        <v>70</v>
      </c>
      <c r="F387" s="21"/>
      <c r="G387" s="20"/>
      <c r="H387" s="9"/>
      <c r="I387" s="9"/>
      <c r="J387" s="21">
        <f>SUM(R384:R386)</f>
        <v>12980.8</v>
      </c>
      <c r="K387" s="21"/>
    </row>
    <row r="388" spans="1:22" ht="14.25" x14ac:dyDescent="0.2">
      <c r="A388" s="18"/>
      <c r="B388" s="18"/>
      <c r="C388" s="18" t="s">
        <v>644</v>
      </c>
      <c r="D388" s="19" t="s">
        <v>643</v>
      </c>
      <c r="E388" s="9">
        <f>Source!AU221</f>
        <v>10</v>
      </c>
      <c r="F388" s="21"/>
      <c r="G388" s="20"/>
      <c r="H388" s="9"/>
      <c r="I388" s="9"/>
      <c r="J388" s="21">
        <f>SUM(T384:T387)</f>
        <v>1854.4</v>
      </c>
      <c r="K388" s="21"/>
    </row>
    <row r="389" spans="1:22" ht="14.25" x14ac:dyDescent="0.2">
      <c r="A389" s="18"/>
      <c r="B389" s="18"/>
      <c r="C389" s="18" t="s">
        <v>645</v>
      </c>
      <c r="D389" s="19" t="s">
        <v>646</v>
      </c>
      <c r="E389" s="9">
        <f>Source!AQ221</f>
        <v>0.23</v>
      </c>
      <c r="F389" s="21"/>
      <c r="G389" s="20" t="str">
        <f>Source!DI221</f>
        <v>)*4</v>
      </c>
      <c r="H389" s="9">
        <f>Source!AV221</f>
        <v>1</v>
      </c>
      <c r="I389" s="9"/>
      <c r="J389" s="21"/>
      <c r="K389" s="21">
        <f>Source!U221</f>
        <v>34.96</v>
      </c>
    </row>
    <row r="390" spans="1:22" ht="15" x14ac:dyDescent="0.25">
      <c r="A390" s="24"/>
      <c r="B390" s="24"/>
      <c r="C390" s="24"/>
      <c r="D390" s="24"/>
      <c r="E390" s="24"/>
      <c r="F390" s="24"/>
      <c r="G390" s="24"/>
      <c r="H390" s="24"/>
      <c r="I390" s="38">
        <f>J385+J386+J387+J388</f>
        <v>33576.799999999996</v>
      </c>
      <c r="J390" s="38"/>
      <c r="K390" s="25">
        <f>IF(Source!I221&lt;&gt;0, ROUND(I390/Source!I221, 2), 0)</f>
        <v>883.6</v>
      </c>
      <c r="P390" s="23">
        <f>I390</f>
        <v>33576.799999999996</v>
      </c>
    </row>
    <row r="391" spans="1:22" ht="71.25" x14ac:dyDescent="0.2">
      <c r="A391" s="18">
        <v>45</v>
      </c>
      <c r="B391" s="18" t="str">
        <f>Source!F222</f>
        <v>1.21-2201-24-1/1</v>
      </c>
      <c r="C391" s="18" t="str">
        <f>Source!G222</f>
        <v>Технический осмотр многопанельного вводно-распределительного устройства (ВРУ), панель распределительная, число групп до 16 - ежедневный</v>
      </c>
      <c r="D391" s="19" t="str">
        <f>Source!H222</f>
        <v>шт.</v>
      </c>
      <c r="E391" s="9">
        <f>Source!I222</f>
        <v>38</v>
      </c>
      <c r="F391" s="21"/>
      <c r="G391" s="20"/>
      <c r="H391" s="9"/>
      <c r="I391" s="9"/>
      <c r="J391" s="21"/>
      <c r="K391" s="21"/>
      <c r="Q391">
        <f>ROUND((Source!BZ222/100)*ROUND((Source!AF222*Source!AV222)*Source!I222, 2), 2)</f>
        <v>116543.64</v>
      </c>
      <c r="R391">
        <f>Source!X222</f>
        <v>116543.64</v>
      </c>
      <c r="S391">
        <f>ROUND((Source!CA222/100)*ROUND((Source!AF222*Source!AV222)*Source!I222, 2), 2)</f>
        <v>16649.09</v>
      </c>
      <c r="T391">
        <f>Source!Y222</f>
        <v>16649.09</v>
      </c>
      <c r="U391">
        <f>ROUND((175/100)*ROUND((Source!AE222*Source!AV222)*Source!I222, 2), 2)</f>
        <v>0</v>
      </c>
      <c r="V391">
        <f>ROUND((108/100)*ROUND(Source!CS222*Source!I222, 2), 2)</f>
        <v>0</v>
      </c>
    </row>
    <row r="392" spans="1:22" ht="14.25" x14ac:dyDescent="0.2">
      <c r="A392" s="18"/>
      <c r="B392" s="18"/>
      <c r="C392" s="18" t="s">
        <v>641</v>
      </c>
      <c r="D392" s="19"/>
      <c r="E392" s="9"/>
      <c r="F392" s="21">
        <f>Source!AO222</f>
        <v>37.130000000000003</v>
      </c>
      <c r="G392" s="20" t="str">
        <f>Source!DG222</f>
        <v>)*118</v>
      </c>
      <c r="H392" s="9">
        <f>Source!AV222</f>
        <v>1</v>
      </c>
      <c r="I392" s="9">
        <f>IF(Source!BA222&lt;&gt; 0, Source!BA222, 1)</f>
        <v>1</v>
      </c>
      <c r="J392" s="21">
        <f>Source!S222</f>
        <v>166490.92000000001</v>
      </c>
      <c r="K392" s="21"/>
    </row>
    <row r="393" spans="1:22" ht="14.25" x14ac:dyDescent="0.2">
      <c r="A393" s="18"/>
      <c r="B393" s="18"/>
      <c r="C393" s="18" t="s">
        <v>642</v>
      </c>
      <c r="D393" s="19" t="s">
        <v>643</v>
      </c>
      <c r="E393" s="9">
        <f>Source!AT222</f>
        <v>70</v>
      </c>
      <c r="F393" s="21"/>
      <c r="G393" s="20"/>
      <c r="H393" s="9"/>
      <c r="I393" s="9"/>
      <c r="J393" s="21">
        <f>SUM(R391:R392)</f>
        <v>116543.64</v>
      </c>
      <c r="K393" s="21"/>
    </row>
    <row r="394" spans="1:22" ht="14.25" x14ac:dyDescent="0.2">
      <c r="A394" s="18"/>
      <c r="B394" s="18"/>
      <c r="C394" s="18" t="s">
        <v>644</v>
      </c>
      <c r="D394" s="19" t="s">
        <v>643</v>
      </c>
      <c r="E394" s="9">
        <f>Source!AU222</f>
        <v>10</v>
      </c>
      <c r="F394" s="21"/>
      <c r="G394" s="20"/>
      <c r="H394" s="9"/>
      <c r="I394" s="9"/>
      <c r="J394" s="21">
        <f>SUM(T391:T393)</f>
        <v>16649.09</v>
      </c>
      <c r="K394" s="21"/>
    </row>
    <row r="395" spans="1:22" ht="14.25" x14ac:dyDescent="0.2">
      <c r="A395" s="18"/>
      <c r="B395" s="18"/>
      <c r="C395" s="18" t="s">
        <v>645</v>
      </c>
      <c r="D395" s="19" t="s">
        <v>646</v>
      </c>
      <c r="E395" s="9">
        <f>Source!AQ222</f>
        <v>7.0000000000000007E-2</v>
      </c>
      <c r="F395" s="21"/>
      <c r="G395" s="20" t="str">
        <f>Source!DI222</f>
        <v>)*118</v>
      </c>
      <c r="H395" s="9">
        <f>Source!AV222</f>
        <v>1</v>
      </c>
      <c r="I395" s="9"/>
      <c r="J395" s="21"/>
      <c r="K395" s="21">
        <f>Source!U222</f>
        <v>313.88000000000005</v>
      </c>
    </row>
    <row r="396" spans="1:22" ht="15" x14ac:dyDescent="0.25">
      <c r="A396" s="24"/>
      <c r="B396" s="24"/>
      <c r="C396" s="24"/>
      <c r="D396" s="24"/>
      <c r="E396" s="24"/>
      <c r="F396" s="24"/>
      <c r="G396" s="24"/>
      <c r="H396" s="24"/>
      <c r="I396" s="38">
        <f>J392+J393+J394</f>
        <v>299683.65000000002</v>
      </c>
      <c r="J396" s="38"/>
      <c r="K396" s="25">
        <f>IF(Source!I222&lt;&gt;0, ROUND(I396/Source!I222, 2), 0)</f>
        <v>7886.41</v>
      </c>
      <c r="P396" s="23">
        <f>I396</f>
        <v>299683.65000000002</v>
      </c>
    </row>
    <row r="397" spans="1:22" ht="42.75" x14ac:dyDescent="0.2">
      <c r="A397" s="18">
        <v>46</v>
      </c>
      <c r="B397" s="18" t="str">
        <f>Source!F223</f>
        <v>1.21-2203-11-1/1</v>
      </c>
      <c r="C397" s="18" t="str">
        <f>Source!G223</f>
        <v>Техническое обслуживание шкафов управления технологическим оборудованием</v>
      </c>
      <c r="D397" s="19" t="str">
        <f>Source!H223</f>
        <v>100 шт.</v>
      </c>
      <c r="E397" s="9">
        <f>Source!I223</f>
        <v>0.11</v>
      </c>
      <c r="F397" s="21"/>
      <c r="G397" s="20"/>
      <c r="H397" s="9"/>
      <c r="I397" s="9"/>
      <c r="J397" s="21"/>
      <c r="K397" s="21"/>
      <c r="Q397">
        <f>ROUND((Source!BZ223/100)*ROUND((Source!AF223*Source!AV223)*Source!I223, 2), 2)</f>
        <v>6373.59</v>
      </c>
      <c r="R397">
        <f>Source!X223</f>
        <v>6373.59</v>
      </c>
      <c r="S397">
        <f>ROUND((Source!CA223/100)*ROUND((Source!AF223*Source!AV223)*Source!I223, 2), 2)</f>
        <v>910.51</v>
      </c>
      <c r="T397">
        <f>Source!Y223</f>
        <v>910.51</v>
      </c>
      <c r="U397">
        <f>ROUND((175/100)*ROUND((Source!AE223*Source!AV223)*Source!I223, 2), 2)</f>
        <v>1867.5</v>
      </c>
      <c r="V397">
        <f>ROUND((108/100)*ROUND(Source!CS223*Source!I223, 2), 2)</f>
        <v>1152.51</v>
      </c>
    </row>
    <row r="398" spans="1:22" x14ac:dyDescent="0.2">
      <c r="C398" s="22" t="str">
        <f>"Объем: "&amp;Source!I223&amp;"=11/"&amp;"100"</f>
        <v>Объем: 0,11=11/100</v>
      </c>
    </row>
    <row r="399" spans="1:22" ht="14.25" x14ac:dyDescent="0.2">
      <c r="A399" s="18"/>
      <c r="B399" s="18"/>
      <c r="C399" s="18" t="s">
        <v>641</v>
      </c>
      <c r="D399" s="19"/>
      <c r="E399" s="9"/>
      <c r="F399" s="21">
        <f>Source!AO223</f>
        <v>20693.48</v>
      </c>
      <c r="G399" s="20" t="str">
        <f>Source!DG223</f>
        <v>)*4</v>
      </c>
      <c r="H399" s="9">
        <f>Source!AV223</f>
        <v>1</v>
      </c>
      <c r="I399" s="9">
        <f>IF(Source!BA223&lt;&gt; 0, Source!BA223, 1)</f>
        <v>1</v>
      </c>
      <c r="J399" s="21">
        <f>Source!S223</f>
        <v>9105.1299999999992</v>
      </c>
      <c r="K399" s="21"/>
    </row>
    <row r="400" spans="1:22" ht="14.25" x14ac:dyDescent="0.2">
      <c r="A400" s="18"/>
      <c r="B400" s="18"/>
      <c r="C400" s="18" t="s">
        <v>647</v>
      </c>
      <c r="D400" s="19"/>
      <c r="E400" s="9"/>
      <c r="F400" s="21">
        <f>Source!AM223</f>
        <v>4471.38</v>
      </c>
      <c r="G400" s="20" t="str">
        <f>Source!DE223</f>
        <v>)*4</v>
      </c>
      <c r="H400" s="9">
        <f>Source!AV223</f>
        <v>1</v>
      </c>
      <c r="I400" s="9">
        <f>IF(Source!BB223&lt;&gt; 0, Source!BB223, 1)</f>
        <v>1</v>
      </c>
      <c r="J400" s="21">
        <f>Source!Q223</f>
        <v>1967.41</v>
      </c>
      <c r="K400" s="21"/>
    </row>
    <row r="401" spans="1:22" ht="14.25" x14ac:dyDescent="0.2">
      <c r="A401" s="18"/>
      <c r="B401" s="18"/>
      <c r="C401" s="18" t="s">
        <v>648</v>
      </c>
      <c r="D401" s="19"/>
      <c r="E401" s="9"/>
      <c r="F401" s="21">
        <f>Source!AN223</f>
        <v>2425.3200000000002</v>
      </c>
      <c r="G401" s="20" t="str">
        <f>Source!DF223</f>
        <v>)*4</v>
      </c>
      <c r="H401" s="9">
        <f>Source!AV223</f>
        <v>1</v>
      </c>
      <c r="I401" s="9">
        <f>IF(Source!BS223&lt;&gt; 0, Source!BS223, 1)</f>
        <v>1</v>
      </c>
      <c r="J401" s="26">
        <f>Source!R223</f>
        <v>1067.1400000000001</v>
      </c>
      <c r="K401" s="21"/>
    </row>
    <row r="402" spans="1:22" ht="14.25" x14ac:dyDescent="0.2">
      <c r="A402" s="18"/>
      <c r="B402" s="18"/>
      <c r="C402" s="18" t="s">
        <v>649</v>
      </c>
      <c r="D402" s="19"/>
      <c r="E402" s="9"/>
      <c r="F402" s="21">
        <f>Source!AL223</f>
        <v>7.83</v>
      </c>
      <c r="G402" s="20" t="str">
        <f>Source!DD223</f>
        <v>)*4</v>
      </c>
      <c r="H402" s="9">
        <f>Source!AW223</f>
        <v>1</v>
      </c>
      <c r="I402" s="9">
        <f>IF(Source!BC223&lt;&gt; 0, Source!BC223, 1)</f>
        <v>1</v>
      </c>
      <c r="J402" s="21">
        <f>Source!P223</f>
        <v>3.45</v>
      </c>
      <c r="K402" s="21"/>
    </row>
    <row r="403" spans="1:22" ht="14.25" x14ac:dyDescent="0.2">
      <c r="A403" s="18"/>
      <c r="B403" s="18"/>
      <c r="C403" s="18" t="s">
        <v>642</v>
      </c>
      <c r="D403" s="19" t="s">
        <v>643</v>
      </c>
      <c r="E403" s="9">
        <f>Source!AT223</f>
        <v>70</v>
      </c>
      <c r="F403" s="21"/>
      <c r="G403" s="20"/>
      <c r="H403" s="9"/>
      <c r="I403" s="9"/>
      <c r="J403" s="21">
        <f>SUM(R397:R402)</f>
        <v>6373.59</v>
      </c>
      <c r="K403" s="21"/>
    </row>
    <row r="404" spans="1:22" ht="14.25" x14ac:dyDescent="0.2">
      <c r="A404" s="18"/>
      <c r="B404" s="18"/>
      <c r="C404" s="18" t="s">
        <v>644</v>
      </c>
      <c r="D404" s="19" t="s">
        <v>643</v>
      </c>
      <c r="E404" s="9">
        <f>Source!AU223</f>
        <v>10</v>
      </c>
      <c r="F404" s="21"/>
      <c r="G404" s="20"/>
      <c r="H404" s="9"/>
      <c r="I404" s="9"/>
      <c r="J404" s="21">
        <f>SUM(T397:T403)</f>
        <v>910.51</v>
      </c>
      <c r="K404" s="21"/>
    </row>
    <row r="405" spans="1:22" ht="14.25" x14ac:dyDescent="0.2">
      <c r="A405" s="18"/>
      <c r="B405" s="18"/>
      <c r="C405" s="18" t="s">
        <v>650</v>
      </c>
      <c r="D405" s="19" t="s">
        <v>643</v>
      </c>
      <c r="E405" s="9">
        <f>108</f>
        <v>108</v>
      </c>
      <c r="F405" s="21"/>
      <c r="G405" s="20"/>
      <c r="H405" s="9"/>
      <c r="I405" s="9"/>
      <c r="J405" s="21">
        <f>SUM(V397:V404)</f>
        <v>1152.51</v>
      </c>
      <c r="K405" s="21"/>
    </row>
    <row r="406" spans="1:22" ht="14.25" x14ac:dyDescent="0.2">
      <c r="A406" s="18"/>
      <c r="B406" s="18"/>
      <c r="C406" s="18" t="s">
        <v>645</v>
      </c>
      <c r="D406" s="19" t="s">
        <v>646</v>
      </c>
      <c r="E406" s="9">
        <f>Source!AQ223</f>
        <v>45</v>
      </c>
      <c r="F406" s="21"/>
      <c r="G406" s="20" t="str">
        <f>Source!DI223</f>
        <v>)*4</v>
      </c>
      <c r="H406" s="9">
        <f>Source!AV223</f>
        <v>1</v>
      </c>
      <c r="I406" s="9"/>
      <c r="J406" s="21"/>
      <c r="K406" s="21">
        <f>Source!U223</f>
        <v>19.8</v>
      </c>
    </row>
    <row r="407" spans="1:22" ht="15" x14ac:dyDescent="0.25">
      <c r="A407" s="24"/>
      <c r="B407" s="24"/>
      <c r="C407" s="24"/>
      <c r="D407" s="24"/>
      <c r="E407" s="24"/>
      <c r="F407" s="24"/>
      <c r="G407" s="24"/>
      <c r="H407" s="24"/>
      <c r="I407" s="38">
        <f>J399+J400+J402+J403+J404+J405</f>
        <v>19512.599999999999</v>
      </c>
      <c r="J407" s="38"/>
      <c r="K407" s="25">
        <f>IF(Source!I223&lt;&gt;0, ROUND(I407/Source!I223, 2), 0)</f>
        <v>177387.27</v>
      </c>
      <c r="P407" s="23">
        <f>I407</f>
        <v>19512.599999999999</v>
      </c>
    </row>
    <row r="408" spans="1:22" ht="42.75" x14ac:dyDescent="0.2">
      <c r="A408" s="18">
        <v>47</v>
      </c>
      <c r="B408" s="18" t="str">
        <f>Source!F224</f>
        <v>1.21-2203-12-1/1</v>
      </c>
      <c r="C408" s="18" t="str">
        <f>Source!G224</f>
        <v>Техническое обслуживание щита автоматической защиты от перегрузок ЩАП</v>
      </c>
      <c r="D408" s="19" t="str">
        <f>Source!H224</f>
        <v>100 шт.</v>
      </c>
      <c r="E408" s="9">
        <f>Source!I224</f>
        <v>0.01</v>
      </c>
      <c r="F408" s="21"/>
      <c r="G408" s="20"/>
      <c r="H408" s="9"/>
      <c r="I408" s="9"/>
      <c r="J408" s="21"/>
      <c r="K408" s="21"/>
      <c r="Q408">
        <f>ROUND((Source!BZ224/100)*ROUND((Source!AF224*Source!AV224)*Source!I224, 2), 2)</f>
        <v>450.66</v>
      </c>
      <c r="R408">
        <f>Source!X224</f>
        <v>450.66</v>
      </c>
      <c r="S408">
        <f>ROUND((Source!CA224/100)*ROUND((Source!AF224*Source!AV224)*Source!I224, 2), 2)</f>
        <v>64.38</v>
      </c>
      <c r="T408">
        <f>Source!Y224</f>
        <v>64.38</v>
      </c>
      <c r="U408">
        <f>ROUND((175/100)*ROUND((Source!AE224*Source!AV224)*Source!I224, 2), 2)</f>
        <v>113.19</v>
      </c>
      <c r="V408">
        <f>ROUND((108/100)*ROUND(Source!CS224*Source!I224, 2), 2)</f>
        <v>69.849999999999994</v>
      </c>
    </row>
    <row r="409" spans="1:22" x14ac:dyDescent="0.2">
      <c r="C409" s="22" t="str">
        <f>"Объем: "&amp;Source!I224&amp;"=1/"&amp;"100"</f>
        <v>Объем: 0,01=1/100</v>
      </c>
    </row>
    <row r="410" spans="1:22" ht="14.25" x14ac:dyDescent="0.2">
      <c r="A410" s="18"/>
      <c r="B410" s="18"/>
      <c r="C410" s="18" t="s">
        <v>641</v>
      </c>
      <c r="D410" s="19"/>
      <c r="E410" s="9"/>
      <c r="F410" s="21">
        <f>Source!AO224</f>
        <v>16094.93</v>
      </c>
      <c r="G410" s="20" t="str">
        <f>Source!DG224</f>
        <v>)*4</v>
      </c>
      <c r="H410" s="9">
        <f>Source!AV224</f>
        <v>1</v>
      </c>
      <c r="I410" s="9">
        <f>IF(Source!BA224&lt;&gt; 0, Source!BA224, 1)</f>
        <v>1</v>
      </c>
      <c r="J410" s="21">
        <f>Source!S224</f>
        <v>643.79999999999995</v>
      </c>
      <c r="K410" s="21"/>
    </row>
    <row r="411" spans="1:22" ht="14.25" x14ac:dyDescent="0.2">
      <c r="A411" s="18"/>
      <c r="B411" s="18"/>
      <c r="C411" s="18" t="s">
        <v>647</v>
      </c>
      <c r="D411" s="19"/>
      <c r="E411" s="9"/>
      <c r="F411" s="21">
        <f>Source!AM224</f>
        <v>2980.92</v>
      </c>
      <c r="G411" s="20" t="str">
        <f>Source!DE224</f>
        <v>)*4</v>
      </c>
      <c r="H411" s="9">
        <f>Source!AV224</f>
        <v>1</v>
      </c>
      <c r="I411" s="9">
        <f>IF(Source!BB224&lt;&gt; 0, Source!BB224, 1)</f>
        <v>1</v>
      </c>
      <c r="J411" s="21">
        <f>Source!Q224</f>
        <v>119.24</v>
      </c>
      <c r="K411" s="21"/>
    </row>
    <row r="412" spans="1:22" ht="14.25" x14ac:dyDescent="0.2">
      <c r="A412" s="18"/>
      <c r="B412" s="18"/>
      <c r="C412" s="18" t="s">
        <v>648</v>
      </c>
      <c r="D412" s="19"/>
      <c r="E412" s="9"/>
      <c r="F412" s="21">
        <f>Source!AN224</f>
        <v>1616.88</v>
      </c>
      <c r="G412" s="20" t="str">
        <f>Source!DF224</f>
        <v>)*4</v>
      </c>
      <c r="H412" s="9">
        <f>Source!AV224</f>
        <v>1</v>
      </c>
      <c r="I412" s="9">
        <f>IF(Source!BS224&lt;&gt; 0, Source!BS224, 1)</f>
        <v>1</v>
      </c>
      <c r="J412" s="26">
        <f>Source!R224</f>
        <v>64.680000000000007</v>
      </c>
      <c r="K412" s="21"/>
    </row>
    <row r="413" spans="1:22" ht="14.25" x14ac:dyDescent="0.2">
      <c r="A413" s="18"/>
      <c r="B413" s="18"/>
      <c r="C413" s="18" t="s">
        <v>649</v>
      </c>
      <c r="D413" s="19"/>
      <c r="E413" s="9"/>
      <c r="F413" s="21">
        <f>Source!AL224</f>
        <v>5.22</v>
      </c>
      <c r="G413" s="20" t="str">
        <f>Source!DD224</f>
        <v>)*4</v>
      </c>
      <c r="H413" s="9">
        <f>Source!AW224</f>
        <v>1</v>
      </c>
      <c r="I413" s="9">
        <f>IF(Source!BC224&lt;&gt; 0, Source!BC224, 1)</f>
        <v>1</v>
      </c>
      <c r="J413" s="21">
        <f>Source!P224</f>
        <v>0.21</v>
      </c>
      <c r="K413" s="21"/>
    </row>
    <row r="414" spans="1:22" ht="14.25" x14ac:dyDescent="0.2">
      <c r="A414" s="18"/>
      <c r="B414" s="18"/>
      <c r="C414" s="18" t="s">
        <v>642</v>
      </c>
      <c r="D414" s="19" t="s">
        <v>643</v>
      </c>
      <c r="E414" s="9">
        <f>Source!AT224</f>
        <v>70</v>
      </c>
      <c r="F414" s="21"/>
      <c r="G414" s="20"/>
      <c r="H414" s="9"/>
      <c r="I414" s="9"/>
      <c r="J414" s="21">
        <f>SUM(R408:R413)</f>
        <v>450.66</v>
      </c>
      <c r="K414" s="21"/>
    </row>
    <row r="415" spans="1:22" ht="14.25" x14ac:dyDescent="0.2">
      <c r="A415" s="18"/>
      <c r="B415" s="18"/>
      <c r="C415" s="18" t="s">
        <v>644</v>
      </c>
      <c r="D415" s="19" t="s">
        <v>643</v>
      </c>
      <c r="E415" s="9">
        <f>Source!AU224</f>
        <v>10</v>
      </c>
      <c r="F415" s="21"/>
      <c r="G415" s="20"/>
      <c r="H415" s="9"/>
      <c r="I415" s="9"/>
      <c r="J415" s="21">
        <f>SUM(T408:T414)</f>
        <v>64.38</v>
      </c>
      <c r="K415" s="21"/>
    </row>
    <row r="416" spans="1:22" ht="14.25" x14ac:dyDescent="0.2">
      <c r="A416" s="18"/>
      <c r="B416" s="18"/>
      <c r="C416" s="18" t="s">
        <v>650</v>
      </c>
      <c r="D416" s="19" t="s">
        <v>643</v>
      </c>
      <c r="E416" s="9">
        <f>108</f>
        <v>108</v>
      </c>
      <c r="F416" s="21"/>
      <c r="G416" s="20"/>
      <c r="H416" s="9"/>
      <c r="I416" s="9"/>
      <c r="J416" s="21">
        <f>SUM(V408:V415)</f>
        <v>69.849999999999994</v>
      </c>
      <c r="K416" s="21"/>
    </row>
    <row r="417" spans="1:22" ht="14.25" x14ac:dyDescent="0.2">
      <c r="A417" s="18"/>
      <c r="B417" s="18"/>
      <c r="C417" s="18" t="s">
        <v>645</v>
      </c>
      <c r="D417" s="19" t="s">
        <v>646</v>
      </c>
      <c r="E417" s="9">
        <f>Source!AQ224</f>
        <v>35</v>
      </c>
      <c r="F417" s="21"/>
      <c r="G417" s="20" t="str">
        <f>Source!DI224</f>
        <v>)*4</v>
      </c>
      <c r="H417" s="9">
        <f>Source!AV224</f>
        <v>1</v>
      </c>
      <c r="I417" s="9"/>
      <c r="J417" s="21"/>
      <c r="K417" s="21">
        <f>Source!U224</f>
        <v>1.4000000000000001</v>
      </c>
    </row>
    <row r="418" spans="1:22" ht="15" x14ac:dyDescent="0.25">
      <c r="A418" s="24"/>
      <c r="B418" s="24"/>
      <c r="C418" s="24"/>
      <c r="D418" s="24"/>
      <c r="E418" s="24"/>
      <c r="F418" s="24"/>
      <c r="G418" s="24"/>
      <c r="H418" s="24"/>
      <c r="I418" s="38">
        <f>J410+J411+J413+J414+J415+J416</f>
        <v>1348.1399999999999</v>
      </c>
      <c r="J418" s="38"/>
      <c r="K418" s="25">
        <f>IF(Source!I224&lt;&gt;0, ROUND(I418/Source!I224, 2), 0)</f>
        <v>134814</v>
      </c>
      <c r="P418" s="23">
        <f>I418</f>
        <v>1348.1399999999999</v>
      </c>
    </row>
    <row r="419" spans="1:22" ht="28.5" x14ac:dyDescent="0.2">
      <c r="A419" s="18">
        <v>48</v>
      </c>
      <c r="B419" s="18" t="str">
        <f>Source!F225</f>
        <v>1.24-2501-9-3/1</v>
      </c>
      <c r="C419" s="18" t="str">
        <f>Source!G225</f>
        <v>Осмотр датчика утечек воды / (прим) осадков, воды, температуры</v>
      </c>
      <c r="D419" s="19" t="str">
        <f>Source!H225</f>
        <v>10 шт.</v>
      </c>
      <c r="E419" s="9">
        <f>Source!I225</f>
        <v>0.3</v>
      </c>
      <c r="F419" s="21"/>
      <c r="G419" s="20"/>
      <c r="H419" s="9"/>
      <c r="I419" s="9"/>
      <c r="J419" s="21"/>
      <c r="K419" s="21"/>
      <c r="Q419">
        <f>ROUND((Source!BZ225/100)*ROUND((Source!AF225*Source!AV225)*Source!I225, 2), 2)</f>
        <v>138.13</v>
      </c>
      <c r="R419">
        <f>Source!X225</f>
        <v>138.13</v>
      </c>
      <c r="S419">
        <f>ROUND((Source!CA225/100)*ROUND((Source!AF225*Source!AV225)*Source!I225, 2), 2)</f>
        <v>19.73</v>
      </c>
      <c r="T419">
        <f>Source!Y225</f>
        <v>19.73</v>
      </c>
      <c r="U419">
        <f>ROUND((175/100)*ROUND((Source!AE225*Source!AV225)*Source!I225, 2), 2)</f>
        <v>0</v>
      </c>
      <c r="V419">
        <f>ROUND((108/100)*ROUND(Source!CS225*Source!I225, 2), 2)</f>
        <v>0</v>
      </c>
    </row>
    <row r="420" spans="1:22" x14ac:dyDescent="0.2">
      <c r="C420" s="22" t="str">
        <f>"Объем: "&amp;Source!I225&amp;"=3/"&amp;"10"</f>
        <v>Объем: 0,3=3/10</v>
      </c>
    </row>
    <row r="421" spans="1:22" ht="14.25" x14ac:dyDescent="0.2">
      <c r="A421" s="18"/>
      <c r="B421" s="18"/>
      <c r="C421" s="18" t="s">
        <v>641</v>
      </c>
      <c r="D421" s="19"/>
      <c r="E421" s="9"/>
      <c r="F421" s="21">
        <f>Source!AO225</f>
        <v>164.44</v>
      </c>
      <c r="G421" s="20" t="str">
        <f>Source!DG225</f>
        <v>)*4</v>
      </c>
      <c r="H421" s="9">
        <f>Source!AV225</f>
        <v>1</v>
      </c>
      <c r="I421" s="9">
        <f>IF(Source!BA225&lt;&gt; 0, Source!BA225, 1)</f>
        <v>1</v>
      </c>
      <c r="J421" s="21">
        <f>Source!S225</f>
        <v>197.33</v>
      </c>
      <c r="K421" s="21"/>
    </row>
    <row r="422" spans="1:22" ht="14.25" x14ac:dyDescent="0.2">
      <c r="A422" s="18"/>
      <c r="B422" s="18"/>
      <c r="C422" s="18" t="s">
        <v>642</v>
      </c>
      <c r="D422" s="19" t="s">
        <v>643</v>
      </c>
      <c r="E422" s="9">
        <f>Source!AT225</f>
        <v>70</v>
      </c>
      <c r="F422" s="21"/>
      <c r="G422" s="20"/>
      <c r="H422" s="9"/>
      <c r="I422" s="9"/>
      <c r="J422" s="21">
        <f>SUM(R419:R421)</f>
        <v>138.13</v>
      </c>
      <c r="K422" s="21"/>
    </row>
    <row r="423" spans="1:22" ht="14.25" x14ac:dyDescent="0.2">
      <c r="A423" s="18"/>
      <c r="B423" s="18"/>
      <c r="C423" s="18" t="s">
        <v>644</v>
      </c>
      <c r="D423" s="19" t="s">
        <v>643</v>
      </c>
      <c r="E423" s="9">
        <f>Source!AU225</f>
        <v>10</v>
      </c>
      <c r="F423" s="21"/>
      <c r="G423" s="20"/>
      <c r="H423" s="9"/>
      <c r="I423" s="9"/>
      <c r="J423" s="21">
        <f>SUM(T419:T422)</f>
        <v>19.73</v>
      </c>
      <c r="K423" s="21"/>
    </row>
    <row r="424" spans="1:22" ht="14.25" x14ac:dyDescent="0.2">
      <c r="A424" s="18"/>
      <c r="B424" s="18"/>
      <c r="C424" s="18" t="s">
        <v>645</v>
      </c>
      <c r="D424" s="19" t="s">
        <v>646</v>
      </c>
      <c r="E424" s="9">
        <f>Source!AQ225</f>
        <v>0.31</v>
      </c>
      <c r="F424" s="21"/>
      <c r="G424" s="20" t="str">
        <f>Source!DI225</f>
        <v>)*4</v>
      </c>
      <c r="H424" s="9">
        <f>Source!AV225</f>
        <v>1</v>
      </c>
      <c r="I424" s="9"/>
      <c r="J424" s="21"/>
      <c r="K424" s="21">
        <f>Source!U225</f>
        <v>0.372</v>
      </c>
    </row>
    <row r="425" spans="1:22" ht="15" x14ac:dyDescent="0.25">
      <c r="A425" s="24"/>
      <c r="B425" s="24"/>
      <c r="C425" s="24"/>
      <c r="D425" s="24"/>
      <c r="E425" s="24"/>
      <c r="F425" s="24"/>
      <c r="G425" s="24"/>
      <c r="H425" s="24"/>
      <c r="I425" s="38">
        <f>J421+J422+J423</f>
        <v>355.19000000000005</v>
      </c>
      <c r="J425" s="38"/>
      <c r="K425" s="25">
        <f>IF(Source!I225&lt;&gt;0, ROUND(I425/Source!I225, 2), 0)</f>
        <v>1183.97</v>
      </c>
      <c r="P425" s="23">
        <f>I425</f>
        <v>355.19000000000005</v>
      </c>
    </row>
    <row r="426" spans="1:22" ht="42.75" x14ac:dyDescent="0.2">
      <c r="A426" s="18">
        <v>49</v>
      </c>
      <c r="B426" s="18" t="str">
        <f>Source!F226</f>
        <v>1.23-2103-33-1/1</v>
      </c>
      <c r="C426" s="18" t="str">
        <f>Source!G226</f>
        <v>Техническое обслуживание электродного датчика уровня жидкости / (прим) осадков, воды, температуры</v>
      </c>
      <c r="D426" s="19" t="str">
        <f>Source!H226</f>
        <v>шт.</v>
      </c>
      <c r="E426" s="9">
        <f>Source!I226</f>
        <v>3</v>
      </c>
      <c r="F426" s="21"/>
      <c r="G426" s="20"/>
      <c r="H426" s="9"/>
      <c r="I426" s="9"/>
      <c r="J426" s="21"/>
      <c r="K426" s="21"/>
      <c r="Q426">
        <f>ROUND((Source!BZ226/100)*ROUND((Source!AF226*Source!AV226)*Source!I226, 2), 2)</f>
        <v>396.82</v>
      </c>
      <c r="R426">
        <f>Source!X226</f>
        <v>396.82</v>
      </c>
      <c r="S426">
        <f>ROUND((Source!CA226/100)*ROUND((Source!AF226*Source!AV226)*Source!I226, 2), 2)</f>
        <v>56.69</v>
      </c>
      <c r="T426">
        <f>Source!Y226</f>
        <v>56.69</v>
      </c>
      <c r="U426">
        <f>ROUND((175/100)*ROUND((Source!AE226*Source!AV226)*Source!I226, 2), 2)</f>
        <v>0</v>
      </c>
      <c r="V426">
        <f>ROUND((108/100)*ROUND(Source!CS226*Source!I226, 2), 2)</f>
        <v>0</v>
      </c>
    </row>
    <row r="427" spans="1:22" ht="14.25" x14ac:dyDescent="0.2">
      <c r="A427" s="18"/>
      <c r="B427" s="18"/>
      <c r="C427" s="18" t="s">
        <v>641</v>
      </c>
      <c r="D427" s="19"/>
      <c r="E427" s="9"/>
      <c r="F427" s="21">
        <f>Source!AO226</f>
        <v>188.96</v>
      </c>
      <c r="G427" s="20" t="str">
        <f>Source!DG226</f>
        <v/>
      </c>
      <c r="H427" s="9">
        <f>Source!AV226</f>
        <v>1</v>
      </c>
      <c r="I427" s="9">
        <f>IF(Source!BA226&lt;&gt; 0, Source!BA226, 1)</f>
        <v>1</v>
      </c>
      <c r="J427" s="21">
        <f>Source!S226</f>
        <v>566.88</v>
      </c>
      <c r="K427" s="21"/>
    </row>
    <row r="428" spans="1:22" ht="14.25" x14ac:dyDescent="0.2">
      <c r="A428" s="18"/>
      <c r="B428" s="18"/>
      <c r="C428" s="18" t="s">
        <v>649</v>
      </c>
      <c r="D428" s="19"/>
      <c r="E428" s="9"/>
      <c r="F428" s="21">
        <f>Source!AL226</f>
        <v>1.75</v>
      </c>
      <c r="G428" s="20" t="str">
        <f>Source!DD226</f>
        <v/>
      </c>
      <c r="H428" s="9">
        <f>Source!AW226</f>
        <v>1</v>
      </c>
      <c r="I428" s="9">
        <f>IF(Source!BC226&lt;&gt; 0, Source!BC226, 1)</f>
        <v>1</v>
      </c>
      <c r="J428" s="21">
        <f>Source!P226</f>
        <v>5.25</v>
      </c>
      <c r="K428" s="21"/>
    </row>
    <row r="429" spans="1:22" ht="14.25" x14ac:dyDescent="0.2">
      <c r="A429" s="18"/>
      <c r="B429" s="18"/>
      <c r="C429" s="18" t="s">
        <v>642</v>
      </c>
      <c r="D429" s="19" t="s">
        <v>643</v>
      </c>
      <c r="E429" s="9">
        <f>Source!AT226</f>
        <v>70</v>
      </c>
      <c r="F429" s="21"/>
      <c r="G429" s="20"/>
      <c r="H429" s="9"/>
      <c r="I429" s="9"/>
      <c r="J429" s="21">
        <f>SUM(R426:R428)</f>
        <v>396.82</v>
      </c>
      <c r="K429" s="21"/>
    </row>
    <row r="430" spans="1:22" ht="14.25" x14ac:dyDescent="0.2">
      <c r="A430" s="18"/>
      <c r="B430" s="18"/>
      <c r="C430" s="18" t="s">
        <v>644</v>
      </c>
      <c r="D430" s="19" t="s">
        <v>643</v>
      </c>
      <c r="E430" s="9">
        <f>Source!AU226</f>
        <v>10</v>
      </c>
      <c r="F430" s="21"/>
      <c r="G430" s="20"/>
      <c r="H430" s="9"/>
      <c r="I430" s="9"/>
      <c r="J430" s="21">
        <f>SUM(T426:T429)</f>
        <v>56.69</v>
      </c>
      <c r="K430" s="21"/>
    </row>
    <row r="431" spans="1:22" ht="14.25" x14ac:dyDescent="0.2">
      <c r="A431" s="18"/>
      <c r="B431" s="18"/>
      <c r="C431" s="18" t="s">
        <v>645</v>
      </c>
      <c r="D431" s="19" t="s">
        <v>646</v>
      </c>
      <c r="E431" s="9">
        <f>Source!AQ226</f>
        <v>0.43</v>
      </c>
      <c r="F431" s="21"/>
      <c r="G431" s="20" t="str">
        <f>Source!DI226</f>
        <v/>
      </c>
      <c r="H431" s="9">
        <f>Source!AV226</f>
        <v>1</v>
      </c>
      <c r="I431" s="9"/>
      <c r="J431" s="21"/>
      <c r="K431" s="21">
        <f>Source!U226</f>
        <v>1.29</v>
      </c>
    </row>
    <row r="432" spans="1:22" ht="15" x14ac:dyDescent="0.25">
      <c r="A432" s="24"/>
      <c r="B432" s="24"/>
      <c r="C432" s="24"/>
      <c r="D432" s="24"/>
      <c r="E432" s="24"/>
      <c r="F432" s="24"/>
      <c r="G432" s="24"/>
      <c r="H432" s="24"/>
      <c r="I432" s="38">
        <f>J427+J428+J429+J430</f>
        <v>1025.6400000000001</v>
      </c>
      <c r="J432" s="38"/>
      <c r="K432" s="25">
        <f>IF(Source!I226&lt;&gt;0, ROUND(I432/Source!I226, 2), 0)</f>
        <v>341.88</v>
      </c>
      <c r="P432" s="23">
        <f>I432</f>
        <v>1025.6400000000001</v>
      </c>
    </row>
    <row r="433" spans="1:22" ht="28.5" x14ac:dyDescent="0.2">
      <c r="A433" s="18">
        <v>50</v>
      </c>
      <c r="B433" s="18" t="str">
        <f>Source!F227</f>
        <v>1.23-2103-6-1/1</v>
      </c>
      <c r="C433" s="18" t="str">
        <f>Source!G227</f>
        <v>Техническое обслуживание выключателей поплавковых</v>
      </c>
      <c r="D433" s="19" t="str">
        <f>Source!H227</f>
        <v>100 шт.</v>
      </c>
      <c r="E433" s="9">
        <f>Source!I227</f>
        <v>3.4</v>
      </c>
      <c r="F433" s="21"/>
      <c r="G433" s="20"/>
      <c r="H433" s="9"/>
      <c r="I433" s="9"/>
      <c r="J433" s="21"/>
      <c r="K433" s="21"/>
      <c r="Q433">
        <f>ROUND((Source!BZ227/100)*ROUND((Source!AF227*Source!AV227)*Source!I227, 2), 2)</f>
        <v>26266.92</v>
      </c>
      <c r="R433">
        <f>Source!X227</f>
        <v>26266.92</v>
      </c>
      <c r="S433">
        <f>ROUND((Source!CA227/100)*ROUND((Source!AF227*Source!AV227)*Source!I227, 2), 2)</f>
        <v>3752.42</v>
      </c>
      <c r="T433">
        <f>Source!Y227</f>
        <v>3752.42</v>
      </c>
      <c r="U433">
        <f>ROUND((175/100)*ROUND((Source!AE227*Source!AV227)*Source!I227, 2), 2)</f>
        <v>13468.67</v>
      </c>
      <c r="V433">
        <f>ROUND((108/100)*ROUND(Source!CS227*Source!I227, 2), 2)</f>
        <v>8312.09</v>
      </c>
    </row>
    <row r="434" spans="1:22" x14ac:dyDescent="0.2">
      <c r="C434" s="22" t="str">
        <f>"Объем: "&amp;Source!I227&amp;"=340/"&amp;"100"</f>
        <v>Объем: 3,4=340/100</v>
      </c>
    </row>
    <row r="435" spans="1:22" ht="14.25" x14ac:dyDescent="0.2">
      <c r="A435" s="18"/>
      <c r="B435" s="18"/>
      <c r="C435" s="18" t="s">
        <v>641</v>
      </c>
      <c r="D435" s="19"/>
      <c r="E435" s="9"/>
      <c r="F435" s="21">
        <f>Source!AO227</f>
        <v>2759.13</v>
      </c>
      <c r="G435" s="20" t="str">
        <f>Source!DG227</f>
        <v>)*4</v>
      </c>
      <c r="H435" s="9">
        <f>Source!AV227</f>
        <v>1</v>
      </c>
      <c r="I435" s="9">
        <f>IF(Source!BA227&lt;&gt; 0, Source!BA227, 1)</f>
        <v>1</v>
      </c>
      <c r="J435" s="21">
        <f>Source!S227</f>
        <v>37524.17</v>
      </c>
      <c r="K435" s="21"/>
    </row>
    <row r="436" spans="1:22" ht="14.25" x14ac:dyDescent="0.2">
      <c r="A436" s="18"/>
      <c r="B436" s="18"/>
      <c r="C436" s="18" t="s">
        <v>647</v>
      </c>
      <c r="D436" s="19"/>
      <c r="E436" s="9"/>
      <c r="F436" s="21">
        <f>Source!AM227</f>
        <v>1043.32</v>
      </c>
      <c r="G436" s="20" t="str">
        <f>Source!DE227</f>
        <v>)*4</v>
      </c>
      <c r="H436" s="9">
        <f>Source!AV227</f>
        <v>1</v>
      </c>
      <c r="I436" s="9">
        <f>IF(Source!BB227&lt;&gt; 0, Source!BB227, 1)</f>
        <v>1</v>
      </c>
      <c r="J436" s="21">
        <f>Source!Q227</f>
        <v>14189.15</v>
      </c>
      <c r="K436" s="21"/>
    </row>
    <row r="437" spans="1:22" ht="14.25" x14ac:dyDescent="0.2">
      <c r="A437" s="18"/>
      <c r="B437" s="18"/>
      <c r="C437" s="18" t="s">
        <v>648</v>
      </c>
      <c r="D437" s="19"/>
      <c r="E437" s="9"/>
      <c r="F437" s="21">
        <f>Source!AN227</f>
        <v>565.91</v>
      </c>
      <c r="G437" s="20" t="str">
        <f>Source!DF227</f>
        <v>)*4</v>
      </c>
      <c r="H437" s="9">
        <f>Source!AV227</f>
        <v>1</v>
      </c>
      <c r="I437" s="9">
        <f>IF(Source!BS227&lt;&gt; 0, Source!BS227, 1)</f>
        <v>1</v>
      </c>
      <c r="J437" s="26">
        <f>Source!R227</f>
        <v>7696.38</v>
      </c>
      <c r="K437" s="21"/>
    </row>
    <row r="438" spans="1:22" ht="14.25" x14ac:dyDescent="0.2">
      <c r="A438" s="18"/>
      <c r="B438" s="18"/>
      <c r="C438" s="18" t="s">
        <v>649</v>
      </c>
      <c r="D438" s="19"/>
      <c r="E438" s="9"/>
      <c r="F438" s="21">
        <f>Source!AL227</f>
        <v>0.78</v>
      </c>
      <c r="G438" s="20" t="str">
        <f>Source!DD227</f>
        <v>)*4</v>
      </c>
      <c r="H438" s="9">
        <f>Source!AW227</f>
        <v>1</v>
      </c>
      <c r="I438" s="9">
        <f>IF(Source!BC227&lt;&gt; 0, Source!BC227, 1)</f>
        <v>1</v>
      </c>
      <c r="J438" s="21">
        <f>Source!P227</f>
        <v>10.61</v>
      </c>
      <c r="K438" s="21"/>
    </row>
    <row r="439" spans="1:22" ht="14.25" x14ac:dyDescent="0.2">
      <c r="A439" s="18"/>
      <c r="B439" s="18"/>
      <c r="C439" s="18" t="s">
        <v>642</v>
      </c>
      <c r="D439" s="19" t="s">
        <v>643</v>
      </c>
      <c r="E439" s="9">
        <f>Source!AT227</f>
        <v>70</v>
      </c>
      <c r="F439" s="21"/>
      <c r="G439" s="20"/>
      <c r="H439" s="9"/>
      <c r="I439" s="9"/>
      <c r="J439" s="21">
        <f>SUM(R433:R438)</f>
        <v>26266.92</v>
      </c>
      <c r="K439" s="21"/>
    </row>
    <row r="440" spans="1:22" ht="14.25" x14ac:dyDescent="0.2">
      <c r="A440" s="18"/>
      <c r="B440" s="18"/>
      <c r="C440" s="18" t="s">
        <v>644</v>
      </c>
      <c r="D440" s="19" t="s">
        <v>643</v>
      </c>
      <c r="E440" s="9">
        <f>Source!AU227</f>
        <v>10</v>
      </c>
      <c r="F440" s="21"/>
      <c r="G440" s="20"/>
      <c r="H440" s="9"/>
      <c r="I440" s="9"/>
      <c r="J440" s="21">
        <f>SUM(T433:T439)</f>
        <v>3752.42</v>
      </c>
      <c r="K440" s="21"/>
    </row>
    <row r="441" spans="1:22" ht="14.25" x14ac:dyDescent="0.2">
      <c r="A441" s="18"/>
      <c r="B441" s="18"/>
      <c r="C441" s="18" t="s">
        <v>650</v>
      </c>
      <c r="D441" s="19" t="s">
        <v>643</v>
      </c>
      <c r="E441" s="9">
        <f>108</f>
        <v>108</v>
      </c>
      <c r="F441" s="21"/>
      <c r="G441" s="20"/>
      <c r="H441" s="9"/>
      <c r="I441" s="9"/>
      <c r="J441" s="21">
        <f>SUM(V433:V440)</f>
        <v>8312.09</v>
      </c>
      <c r="K441" s="21"/>
    </row>
    <row r="442" spans="1:22" ht="14.25" x14ac:dyDescent="0.2">
      <c r="A442" s="18"/>
      <c r="B442" s="18"/>
      <c r="C442" s="18" t="s">
        <v>645</v>
      </c>
      <c r="D442" s="19" t="s">
        <v>646</v>
      </c>
      <c r="E442" s="9">
        <f>Source!AQ227</f>
        <v>6</v>
      </c>
      <c r="F442" s="21"/>
      <c r="G442" s="20" t="str">
        <f>Source!DI227</f>
        <v>)*4</v>
      </c>
      <c r="H442" s="9">
        <f>Source!AV227</f>
        <v>1</v>
      </c>
      <c r="I442" s="9"/>
      <c r="J442" s="21"/>
      <c r="K442" s="21">
        <f>Source!U227</f>
        <v>81.599999999999994</v>
      </c>
    </row>
    <row r="443" spans="1:22" ht="15" x14ac:dyDescent="0.25">
      <c r="A443" s="24"/>
      <c r="B443" s="24"/>
      <c r="C443" s="24"/>
      <c r="D443" s="24"/>
      <c r="E443" s="24"/>
      <c r="F443" s="24"/>
      <c r="G443" s="24"/>
      <c r="H443" s="24"/>
      <c r="I443" s="38">
        <f>J435+J436+J438+J439+J440+J441</f>
        <v>90055.360000000001</v>
      </c>
      <c r="J443" s="38"/>
      <c r="K443" s="25">
        <f>IF(Source!I227&lt;&gt;0, ROUND(I443/Source!I227, 2), 0)</f>
        <v>26486.87</v>
      </c>
      <c r="P443" s="23">
        <f>I443</f>
        <v>90055.360000000001</v>
      </c>
    </row>
    <row r="444" spans="1:22" ht="57" x14ac:dyDescent="0.2">
      <c r="A444" s="18">
        <v>51</v>
      </c>
      <c r="B444" s="18" t="str">
        <f>Source!F228</f>
        <v>1.21-2103-9-2/1</v>
      </c>
      <c r="C444" s="18" t="str">
        <f>Source!G228</f>
        <v>Техническое обслуживание силовых сетей, проложенных по кирпичным и бетонным основаниям, провод сечением 3х1,5-6 мм2 (50%)</v>
      </c>
      <c r="D444" s="19" t="str">
        <f>Source!H228</f>
        <v>100 м</v>
      </c>
      <c r="E444" s="9">
        <f>Source!I228</f>
        <v>4.2300000000000004</v>
      </c>
      <c r="F444" s="21"/>
      <c r="G444" s="20"/>
      <c r="H444" s="9"/>
      <c r="I444" s="9"/>
      <c r="J444" s="21"/>
      <c r="K444" s="21"/>
      <c r="Q444">
        <f>ROUND((Source!BZ228/100)*ROUND((Source!AF228*Source!AV228)*Source!I228, 2), 2)</f>
        <v>13616.31</v>
      </c>
      <c r="R444">
        <f>Source!X228</f>
        <v>13616.31</v>
      </c>
      <c r="S444">
        <f>ROUND((Source!CA228/100)*ROUND((Source!AF228*Source!AV228)*Source!I228, 2), 2)</f>
        <v>1945.19</v>
      </c>
      <c r="T444">
        <f>Source!Y228</f>
        <v>1945.19</v>
      </c>
      <c r="U444">
        <f>ROUND((175/100)*ROUND((Source!AE228*Source!AV228)*Source!I228, 2), 2)</f>
        <v>0</v>
      </c>
      <c r="V444">
        <f>ROUND((108/100)*ROUND(Source!CS228*Source!I228, 2), 2)</f>
        <v>0</v>
      </c>
    </row>
    <row r="445" spans="1:22" x14ac:dyDescent="0.2">
      <c r="C445" s="22" t="str">
        <f>"Объем: "&amp;Source!I228&amp;"=4230*"&amp;"0,1/"&amp;"100"</f>
        <v>Объем: 4,23=4230*0,1/100</v>
      </c>
    </row>
    <row r="446" spans="1:22" ht="14.25" x14ac:dyDescent="0.2">
      <c r="A446" s="18"/>
      <c r="B446" s="18"/>
      <c r="C446" s="18" t="s">
        <v>641</v>
      </c>
      <c r="D446" s="19"/>
      <c r="E446" s="9"/>
      <c r="F446" s="21">
        <f>Source!AO228</f>
        <v>4598.55</v>
      </c>
      <c r="G446" s="20" t="str">
        <f>Source!DG228</f>
        <v/>
      </c>
      <c r="H446" s="9">
        <f>Source!AV228</f>
        <v>1</v>
      </c>
      <c r="I446" s="9">
        <f>IF(Source!BA228&lt;&gt; 0, Source!BA228, 1)</f>
        <v>1</v>
      </c>
      <c r="J446" s="21">
        <f>Source!S228</f>
        <v>19451.87</v>
      </c>
      <c r="K446" s="21"/>
    </row>
    <row r="447" spans="1:22" ht="14.25" x14ac:dyDescent="0.2">
      <c r="A447" s="18"/>
      <c r="B447" s="18"/>
      <c r="C447" s="18" t="s">
        <v>649</v>
      </c>
      <c r="D447" s="19"/>
      <c r="E447" s="9"/>
      <c r="F447" s="21">
        <f>Source!AL228</f>
        <v>21.06</v>
      </c>
      <c r="G447" s="20" t="str">
        <f>Source!DD228</f>
        <v/>
      </c>
      <c r="H447" s="9">
        <f>Source!AW228</f>
        <v>1</v>
      </c>
      <c r="I447" s="9">
        <f>IF(Source!BC228&lt;&gt; 0, Source!BC228, 1)</f>
        <v>1</v>
      </c>
      <c r="J447" s="21">
        <f>Source!P228</f>
        <v>89.08</v>
      </c>
      <c r="K447" s="21"/>
    </row>
    <row r="448" spans="1:22" ht="14.25" x14ac:dyDescent="0.2">
      <c r="A448" s="18"/>
      <c r="B448" s="18"/>
      <c r="C448" s="18" t="s">
        <v>642</v>
      </c>
      <c r="D448" s="19" t="s">
        <v>643</v>
      </c>
      <c r="E448" s="9">
        <f>Source!AT228</f>
        <v>70</v>
      </c>
      <c r="F448" s="21"/>
      <c r="G448" s="20"/>
      <c r="H448" s="9"/>
      <c r="I448" s="9"/>
      <c r="J448" s="21">
        <f>SUM(R444:R447)</f>
        <v>13616.31</v>
      </c>
      <c r="K448" s="21"/>
    </row>
    <row r="449" spans="1:22" ht="14.25" x14ac:dyDescent="0.2">
      <c r="A449" s="18"/>
      <c r="B449" s="18"/>
      <c r="C449" s="18" t="s">
        <v>644</v>
      </c>
      <c r="D449" s="19" t="s">
        <v>643</v>
      </c>
      <c r="E449" s="9">
        <f>Source!AU228</f>
        <v>10</v>
      </c>
      <c r="F449" s="21"/>
      <c r="G449" s="20"/>
      <c r="H449" s="9"/>
      <c r="I449" s="9"/>
      <c r="J449" s="21">
        <f>SUM(T444:T448)</f>
        <v>1945.19</v>
      </c>
      <c r="K449" s="21"/>
    </row>
    <row r="450" spans="1:22" ht="14.25" x14ac:dyDescent="0.2">
      <c r="A450" s="18"/>
      <c r="B450" s="18"/>
      <c r="C450" s="18" t="s">
        <v>645</v>
      </c>
      <c r="D450" s="19" t="s">
        <v>646</v>
      </c>
      <c r="E450" s="9">
        <f>Source!AQ228</f>
        <v>10</v>
      </c>
      <c r="F450" s="21"/>
      <c r="G450" s="20" t="str">
        <f>Source!DI228</f>
        <v/>
      </c>
      <c r="H450" s="9">
        <f>Source!AV228</f>
        <v>1</v>
      </c>
      <c r="I450" s="9"/>
      <c r="J450" s="21"/>
      <c r="K450" s="21">
        <f>Source!U228</f>
        <v>42.300000000000004</v>
      </c>
    </row>
    <row r="451" spans="1:22" ht="15" x14ac:dyDescent="0.25">
      <c r="A451" s="24"/>
      <c r="B451" s="24"/>
      <c r="C451" s="24"/>
      <c r="D451" s="24"/>
      <c r="E451" s="24"/>
      <c r="F451" s="24"/>
      <c r="G451" s="24"/>
      <c r="H451" s="24"/>
      <c r="I451" s="38">
        <f>J446+J447+J448+J449</f>
        <v>35102.450000000004</v>
      </c>
      <c r="J451" s="38"/>
      <c r="K451" s="25">
        <f>IF(Source!I228&lt;&gt;0, ROUND(I451/Source!I228, 2), 0)</f>
        <v>8298.4500000000007</v>
      </c>
      <c r="P451" s="23">
        <f>I451</f>
        <v>35102.450000000004</v>
      </c>
    </row>
    <row r="452" spans="1:22" ht="57" x14ac:dyDescent="0.2">
      <c r="A452" s="18">
        <v>52</v>
      </c>
      <c r="B452" s="18" t="str">
        <f>Source!F229</f>
        <v>1.21-2101-1-1/1</v>
      </c>
      <c r="C452" s="18" t="str">
        <f>Source!G229</f>
        <v>Технический осмотр силовых сетей, проложенных по кирпичным и бетонным основаниям, провод сечением 2х1,5-6 мм2</v>
      </c>
      <c r="D452" s="19" t="str">
        <f>Source!H229</f>
        <v>100 м</v>
      </c>
      <c r="E452" s="9">
        <f>Source!I229</f>
        <v>8.4600000000000009</v>
      </c>
      <c r="F452" s="21"/>
      <c r="G452" s="20"/>
      <c r="H452" s="9"/>
      <c r="I452" s="9"/>
      <c r="J452" s="21"/>
      <c r="K452" s="21"/>
      <c r="Q452">
        <f>ROUND((Source!BZ229/100)*ROUND((Source!AF229*Source!AV229)*Source!I229, 2), 2)</f>
        <v>653.55999999999995</v>
      </c>
      <c r="R452">
        <f>Source!X229</f>
        <v>653.55999999999995</v>
      </c>
      <c r="S452">
        <f>ROUND((Source!CA229/100)*ROUND((Source!AF229*Source!AV229)*Source!I229, 2), 2)</f>
        <v>93.37</v>
      </c>
      <c r="T452">
        <f>Source!Y229</f>
        <v>93.37</v>
      </c>
      <c r="U452">
        <f>ROUND((175/100)*ROUND((Source!AE229*Source!AV229)*Source!I229, 2), 2)</f>
        <v>0</v>
      </c>
      <c r="V452">
        <f>ROUND((108/100)*ROUND(Source!CS229*Source!I229, 2), 2)</f>
        <v>0</v>
      </c>
    </row>
    <row r="453" spans="1:22" x14ac:dyDescent="0.2">
      <c r="C453" s="22" t="str">
        <f>"Объем: "&amp;Source!I229&amp;"=8460*"&amp;"0,1/"&amp;"100"</f>
        <v>Объем: 8,46=8460*0,1/100</v>
      </c>
    </row>
    <row r="454" spans="1:22" ht="14.25" x14ac:dyDescent="0.2">
      <c r="A454" s="18"/>
      <c r="B454" s="18"/>
      <c r="C454" s="18" t="s">
        <v>641</v>
      </c>
      <c r="D454" s="19"/>
      <c r="E454" s="9"/>
      <c r="F454" s="21">
        <f>Source!AO229</f>
        <v>110.36</v>
      </c>
      <c r="G454" s="20" t="str">
        <f>Source!DG229</f>
        <v/>
      </c>
      <c r="H454" s="9">
        <f>Source!AV229</f>
        <v>1</v>
      </c>
      <c r="I454" s="9">
        <f>IF(Source!BA229&lt;&gt; 0, Source!BA229, 1)</f>
        <v>1</v>
      </c>
      <c r="J454" s="21">
        <f>Source!S229</f>
        <v>933.65</v>
      </c>
      <c r="K454" s="21"/>
    </row>
    <row r="455" spans="1:22" ht="14.25" x14ac:dyDescent="0.2">
      <c r="A455" s="18"/>
      <c r="B455" s="18"/>
      <c r="C455" s="18" t="s">
        <v>642</v>
      </c>
      <c r="D455" s="19" t="s">
        <v>643</v>
      </c>
      <c r="E455" s="9">
        <f>Source!AT229</f>
        <v>70</v>
      </c>
      <c r="F455" s="21"/>
      <c r="G455" s="20"/>
      <c r="H455" s="9"/>
      <c r="I455" s="9"/>
      <c r="J455" s="21">
        <f>SUM(R452:R454)</f>
        <v>653.55999999999995</v>
      </c>
      <c r="K455" s="21"/>
    </row>
    <row r="456" spans="1:22" ht="14.25" x14ac:dyDescent="0.2">
      <c r="A456" s="18"/>
      <c r="B456" s="18"/>
      <c r="C456" s="18" t="s">
        <v>644</v>
      </c>
      <c r="D456" s="19" t="s">
        <v>643</v>
      </c>
      <c r="E456" s="9">
        <f>Source!AU229</f>
        <v>10</v>
      </c>
      <c r="F456" s="21"/>
      <c r="G456" s="20"/>
      <c r="H456" s="9"/>
      <c r="I456" s="9"/>
      <c r="J456" s="21">
        <f>SUM(T452:T455)</f>
        <v>93.37</v>
      </c>
      <c r="K456" s="21"/>
    </row>
    <row r="457" spans="1:22" ht="14.25" x14ac:dyDescent="0.2">
      <c r="A457" s="18"/>
      <c r="B457" s="18"/>
      <c r="C457" s="18" t="s">
        <v>645</v>
      </c>
      <c r="D457" s="19" t="s">
        <v>646</v>
      </c>
      <c r="E457" s="9">
        <f>Source!AQ229</f>
        <v>0.24</v>
      </c>
      <c r="F457" s="21"/>
      <c r="G457" s="20" t="str">
        <f>Source!DI229</f>
        <v/>
      </c>
      <c r="H457" s="9">
        <f>Source!AV229</f>
        <v>1</v>
      </c>
      <c r="I457" s="9"/>
      <c r="J457" s="21"/>
      <c r="K457" s="21">
        <f>Source!U229</f>
        <v>2.0304000000000002</v>
      </c>
    </row>
    <row r="458" spans="1:22" ht="15" x14ac:dyDescent="0.25">
      <c r="A458" s="24"/>
      <c r="B458" s="24"/>
      <c r="C458" s="24"/>
      <c r="D458" s="24"/>
      <c r="E458" s="24"/>
      <c r="F458" s="24"/>
      <c r="G458" s="24"/>
      <c r="H458" s="24"/>
      <c r="I458" s="38">
        <f>J454+J455+J456</f>
        <v>1680.58</v>
      </c>
      <c r="J458" s="38"/>
      <c r="K458" s="25">
        <f>IF(Source!I229&lt;&gt;0, ROUND(I458/Source!I229, 2), 0)</f>
        <v>198.65</v>
      </c>
      <c r="P458" s="23">
        <f>I458</f>
        <v>1680.58</v>
      </c>
    </row>
    <row r="460" spans="1:22" ht="15" x14ac:dyDescent="0.25">
      <c r="A460" s="36" t="str">
        <f>CONCATENATE("Итого по разделу: ",IF(Source!G231&lt;&gt;"Новый раздел", Source!G231, ""))</f>
        <v>Итого по разделу: Электроснабжение</v>
      </c>
      <c r="B460" s="36"/>
      <c r="C460" s="36"/>
      <c r="D460" s="36"/>
      <c r="E460" s="36"/>
      <c r="F460" s="36"/>
      <c r="G460" s="36"/>
      <c r="H460" s="36"/>
      <c r="I460" s="34">
        <f>SUM(P310:P459)</f>
        <v>542047.65</v>
      </c>
      <c r="J460" s="35"/>
      <c r="K460" s="28"/>
    </row>
    <row r="463" spans="1:22" ht="16.5" x14ac:dyDescent="0.25">
      <c r="A463" s="37" t="str">
        <f>CONCATENATE("Раздел: ",IF(Source!G261&lt;&gt;"Новый раздел", Source!G261, ""))</f>
        <v>Раздел: Теплоснабжение</v>
      </c>
      <c r="B463" s="37"/>
      <c r="C463" s="37"/>
      <c r="D463" s="37"/>
      <c r="E463" s="37"/>
      <c r="F463" s="37"/>
      <c r="G463" s="37"/>
      <c r="H463" s="37"/>
      <c r="I463" s="37"/>
      <c r="J463" s="37"/>
      <c r="K463" s="37"/>
    </row>
    <row r="464" spans="1:22" ht="42.75" x14ac:dyDescent="0.2">
      <c r="A464" s="18">
        <v>53</v>
      </c>
      <c r="B464" s="18" t="str">
        <f>Source!F267</f>
        <v>1.23-2103-41-1/1</v>
      </c>
      <c r="C464" s="18" t="str">
        <f>Source!G267</f>
        <v>Техническое обслуживание регулирующего клапана / узлы регулирования</v>
      </c>
      <c r="D464" s="19" t="str">
        <f>Source!H267</f>
        <v>шт.</v>
      </c>
      <c r="E464" s="9">
        <f>Source!I267</f>
        <v>2</v>
      </c>
      <c r="F464" s="21"/>
      <c r="G464" s="20"/>
      <c r="H464" s="9"/>
      <c r="I464" s="9"/>
      <c r="J464" s="21"/>
      <c r="K464" s="21"/>
      <c r="Q464">
        <f>ROUND((Source!BZ267/100)*ROUND((Source!AF267*Source!AV267)*Source!I267, 2), 2)</f>
        <v>500.3</v>
      </c>
      <c r="R464">
        <f>Source!X267</f>
        <v>500.3</v>
      </c>
      <c r="S464">
        <f>ROUND((Source!CA267/100)*ROUND((Source!AF267*Source!AV267)*Source!I267, 2), 2)</f>
        <v>71.47</v>
      </c>
      <c r="T464">
        <f>Source!Y267</f>
        <v>71.47</v>
      </c>
      <c r="U464">
        <f>ROUND((175/100)*ROUND((Source!AE267*Source!AV267)*Source!I267, 2), 2)</f>
        <v>339.57</v>
      </c>
      <c r="V464">
        <f>ROUND((108/100)*ROUND(Source!CS267*Source!I267, 2), 2)</f>
        <v>209.56</v>
      </c>
    </row>
    <row r="465" spans="1:22" ht="14.25" x14ac:dyDescent="0.2">
      <c r="A465" s="18"/>
      <c r="B465" s="18"/>
      <c r="C465" s="18" t="s">
        <v>641</v>
      </c>
      <c r="D465" s="19"/>
      <c r="E465" s="9"/>
      <c r="F465" s="21">
        <f>Source!AO267</f>
        <v>178.68</v>
      </c>
      <c r="G465" s="20" t="str">
        <f>Source!DG267</f>
        <v>)*2</v>
      </c>
      <c r="H465" s="9">
        <f>Source!AV267</f>
        <v>1</v>
      </c>
      <c r="I465" s="9">
        <f>IF(Source!BA267&lt;&gt; 0, Source!BA267, 1)</f>
        <v>1</v>
      </c>
      <c r="J465" s="21">
        <f>Source!S267</f>
        <v>714.72</v>
      </c>
      <c r="K465" s="21"/>
    </row>
    <row r="466" spans="1:22" ht="14.25" x14ac:dyDescent="0.2">
      <c r="A466" s="18"/>
      <c r="B466" s="18"/>
      <c r="C466" s="18" t="s">
        <v>647</v>
      </c>
      <c r="D466" s="19"/>
      <c r="E466" s="9"/>
      <c r="F466" s="21">
        <f>Source!AM267</f>
        <v>89.43</v>
      </c>
      <c r="G466" s="20" t="str">
        <f>Source!DE267</f>
        <v>)*2</v>
      </c>
      <c r="H466" s="9">
        <f>Source!AV267</f>
        <v>1</v>
      </c>
      <c r="I466" s="9">
        <f>IF(Source!BB267&lt;&gt; 0, Source!BB267, 1)</f>
        <v>1</v>
      </c>
      <c r="J466" s="21">
        <f>Source!Q267</f>
        <v>357.72</v>
      </c>
      <c r="K466" s="21"/>
    </row>
    <row r="467" spans="1:22" ht="14.25" x14ac:dyDescent="0.2">
      <c r="A467" s="18"/>
      <c r="B467" s="18"/>
      <c r="C467" s="18" t="s">
        <v>648</v>
      </c>
      <c r="D467" s="19"/>
      <c r="E467" s="9"/>
      <c r="F467" s="21">
        <f>Source!AN267</f>
        <v>48.51</v>
      </c>
      <c r="G467" s="20" t="str">
        <f>Source!DF267</f>
        <v>)*2</v>
      </c>
      <c r="H467" s="9">
        <f>Source!AV267</f>
        <v>1</v>
      </c>
      <c r="I467" s="9">
        <f>IF(Source!BS267&lt;&gt; 0, Source!BS267, 1)</f>
        <v>1</v>
      </c>
      <c r="J467" s="26">
        <f>Source!R267</f>
        <v>194.04</v>
      </c>
      <c r="K467" s="21"/>
    </row>
    <row r="468" spans="1:22" ht="14.25" x14ac:dyDescent="0.2">
      <c r="A468" s="18"/>
      <c r="B468" s="18"/>
      <c r="C468" s="18" t="s">
        <v>642</v>
      </c>
      <c r="D468" s="19" t="s">
        <v>643</v>
      </c>
      <c r="E468" s="9">
        <f>Source!AT267</f>
        <v>70</v>
      </c>
      <c r="F468" s="21"/>
      <c r="G468" s="20"/>
      <c r="H468" s="9"/>
      <c r="I468" s="9"/>
      <c r="J468" s="21">
        <f>SUM(R464:R467)</f>
        <v>500.3</v>
      </c>
      <c r="K468" s="21"/>
    </row>
    <row r="469" spans="1:22" ht="14.25" x14ac:dyDescent="0.2">
      <c r="A469" s="18"/>
      <c r="B469" s="18"/>
      <c r="C469" s="18" t="s">
        <v>644</v>
      </c>
      <c r="D469" s="19" t="s">
        <v>643</v>
      </c>
      <c r="E469" s="9">
        <f>Source!AU267</f>
        <v>10</v>
      </c>
      <c r="F469" s="21"/>
      <c r="G469" s="20"/>
      <c r="H469" s="9"/>
      <c r="I469" s="9"/>
      <c r="J469" s="21">
        <f>SUM(T464:T468)</f>
        <v>71.47</v>
      </c>
      <c r="K469" s="21"/>
    </row>
    <row r="470" spans="1:22" ht="14.25" x14ac:dyDescent="0.2">
      <c r="A470" s="18"/>
      <c r="B470" s="18"/>
      <c r="C470" s="18" t="s">
        <v>650</v>
      </c>
      <c r="D470" s="19" t="s">
        <v>643</v>
      </c>
      <c r="E470" s="9">
        <f>108</f>
        <v>108</v>
      </c>
      <c r="F470" s="21"/>
      <c r="G470" s="20"/>
      <c r="H470" s="9"/>
      <c r="I470" s="9"/>
      <c r="J470" s="21">
        <f>SUM(V464:V469)</f>
        <v>209.56</v>
      </c>
      <c r="K470" s="21"/>
    </row>
    <row r="471" spans="1:22" ht="14.25" x14ac:dyDescent="0.2">
      <c r="A471" s="18"/>
      <c r="B471" s="18"/>
      <c r="C471" s="18" t="s">
        <v>645</v>
      </c>
      <c r="D471" s="19" t="s">
        <v>646</v>
      </c>
      <c r="E471" s="9">
        <f>Source!AQ267</f>
        <v>0.37</v>
      </c>
      <c r="F471" s="21"/>
      <c r="G471" s="20" t="str">
        <f>Source!DI267</f>
        <v>)*2</v>
      </c>
      <c r="H471" s="9">
        <f>Source!AV267</f>
        <v>1</v>
      </c>
      <c r="I471" s="9"/>
      <c r="J471" s="21"/>
      <c r="K471" s="21">
        <f>Source!U267</f>
        <v>1.48</v>
      </c>
    </row>
    <row r="472" spans="1:22" ht="15" x14ac:dyDescent="0.25">
      <c r="A472" s="24"/>
      <c r="B472" s="24"/>
      <c r="C472" s="24"/>
      <c r="D472" s="24"/>
      <c r="E472" s="24"/>
      <c r="F472" s="24"/>
      <c r="G472" s="24"/>
      <c r="H472" s="24"/>
      <c r="I472" s="38">
        <f>J465+J466+J468+J469+J470</f>
        <v>1853.77</v>
      </c>
      <c r="J472" s="38"/>
      <c r="K472" s="25">
        <f>IF(Source!I267&lt;&gt;0, ROUND(I472/Source!I267, 2), 0)</f>
        <v>926.89</v>
      </c>
      <c r="P472" s="23">
        <f>I472</f>
        <v>1853.77</v>
      </c>
    </row>
    <row r="473" spans="1:22" ht="28.5" x14ac:dyDescent="0.2">
      <c r="A473" s="18">
        <v>54</v>
      </c>
      <c r="B473" s="18" t="str">
        <f>Source!F268</f>
        <v>1.17-2103-16-1/1</v>
      </c>
      <c r="C473" s="18" t="str">
        <f>Source!G268</f>
        <v>Техническое обслуживание крана трехходового шарового под манометр</v>
      </c>
      <c r="D473" s="19" t="str">
        <f>Source!H268</f>
        <v>10 шт.</v>
      </c>
      <c r="E473" s="9">
        <f>Source!I268</f>
        <v>0.2</v>
      </c>
      <c r="F473" s="21"/>
      <c r="G473" s="20"/>
      <c r="H473" s="9"/>
      <c r="I473" s="9"/>
      <c r="J473" s="21"/>
      <c r="K473" s="21"/>
      <c r="Q473">
        <f>ROUND((Source!BZ268/100)*ROUND((Source!AF268*Source!AV268)*Source!I268, 2), 2)</f>
        <v>66.84</v>
      </c>
      <c r="R473">
        <f>Source!X268</f>
        <v>66.84</v>
      </c>
      <c r="S473">
        <f>ROUND((Source!CA268/100)*ROUND((Source!AF268*Source!AV268)*Source!I268, 2), 2)</f>
        <v>9.5500000000000007</v>
      </c>
      <c r="T473">
        <f>Source!Y268</f>
        <v>9.5500000000000007</v>
      </c>
      <c r="U473">
        <f>ROUND((175/100)*ROUND((Source!AE268*Source!AV268)*Source!I268, 2), 2)</f>
        <v>0</v>
      </c>
      <c r="V473">
        <f>ROUND((108/100)*ROUND(Source!CS268*Source!I268, 2), 2)</f>
        <v>0</v>
      </c>
    </row>
    <row r="474" spans="1:22" x14ac:dyDescent="0.2">
      <c r="C474" s="22" t="str">
        <f>"Объем: "&amp;Source!I268&amp;"=2/"&amp;"10"</f>
        <v>Объем: 0,2=2/10</v>
      </c>
    </row>
    <row r="475" spans="1:22" ht="14.25" x14ac:dyDescent="0.2">
      <c r="A475" s="18"/>
      <c r="B475" s="18"/>
      <c r="C475" s="18" t="s">
        <v>641</v>
      </c>
      <c r="D475" s="19"/>
      <c r="E475" s="9"/>
      <c r="F475" s="21">
        <f>Source!AO268</f>
        <v>477.41</v>
      </c>
      <c r="G475" s="20" t="str">
        <f>Source!DG268</f>
        <v/>
      </c>
      <c r="H475" s="9">
        <f>Source!AV268</f>
        <v>1</v>
      </c>
      <c r="I475" s="9">
        <f>IF(Source!BA268&lt;&gt; 0, Source!BA268, 1)</f>
        <v>1</v>
      </c>
      <c r="J475" s="21">
        <f>Source!S268</f>
        <v>95.48</v>
      </c>
      <c r="K475" s="21"/>
    </row>
    <row r="476" spans="1:22" ht="14.25" x14ac:dyDescent="0.2">
      <c r="A476" s="18"/>
      <c r="B476" s="18"/>
      <c r="C476" s="18" t="s">
        <v>649</v>
      </c>
      <c r="D476" s="19"/>
      <c r="E476" s="9"/>
      <c r="F476" s="21">
        <f>Source!AL268</f>
        <v>0.26</v>
      </c>
      <c r="G476" s="20" t="str">
        <f>Source!DD268</f>
        <v/>
      </c>
      <c r="H476" s="9">
        <f>Source!AW268</f>
        <v>1</v>
      </c>
      <c r="I476" s="9">
        <f>IF(Source!BC268&lt;&gt; 0, Source!BC268, 1)</f>
        <v>1</v>
      </c>
      <c r="J476" s="21">
        <f>Source!P268</f>
        <v>0.05</v>
      </c>
      <c r="K476" s="21"/>
    </row>
    <row r="477" spans="1:22" ht="14.25" x14ac:dyDescent="0.2">
      <c r="A477" s="18"/>
      <c r="B477" s="18"/>
      <c r="C477" s="18" t="s">
        <v>642</v>
      </c>
      <c r="D477" s="19" t="s">
        <v>643</v>
      </c>
      <c r="E477" s="9">
        <f>Source!AT268</f>
        <v>70</v>
      </c>
      <c r="F477" s="21"/>
      <c r="G477" s="20"/>
      <c r="H477" s="9"/>
      <c r="I477" s="9"/>
      <c r="J477" s="21">
        <f>SUM(R473:R476)</f>
        <v>66.84</v>
      </c>
      <c r="K477" s="21"/>
    </row>
    <row r="478" spans="1:22" ht="14.25" x14ac:dyDescent="0.2">
      <c r="A478" s="18"/>
      <c r="B478" s="18"/>
      <c r="C478" s="18" t="s">
        <v>644</v>
      </c>
      <c r="D478" s="19" t="s">
        <v>643</v>
      </c>
      <c r="E478" s="9">
        <f>Source!AU268</f>
        <v>10</v>
      </c>
      <c r="F478" s="21"/>
      <c r="G478" s="20"/>
      <c r="H478" s="9"/>
      <c r="I478" s="9"/>
      <c r="J478" s="21">
        <f>SUM(T473:T477)</f>
        <v>9.5500000000000007</v>
      </c>
      <c r="K478" s="21"/>
    </row>
    <row r="479" spans="1:22" ht="14.25" x14ac:dyDescent="0.2">
      <c r="A479" s="18"/>
      <c r="B479" s="18"/>
      <c r="C479" s="18" t="s">
        <v>645</v>
      </c>
      <c r="D479" s="19" t="s">
        <v>646</v>
      </c>
      <c r="E479" s="9">
        <f>Source!AQ268</f>
        <v>0.9</v>
      </c>
      <c r="F479" s="21"/>
      <c r="G479" s="20" t="str">
        <f>Source!DI268</f>
        <v/>
      </c>
      <c r="H479" s="9">
        <f>Source!AV268</f>
        <v>1</v>
      </c>
      <c r="I479" s="9"/>
      <c r="J479" s="21"/>
      <c r="K479" s="21">
        <f>Source!U268</f>
        <v>0.18000000000000002</v>
      </c>
    </row>
    <row r="480" spans="1:22" ht="15" x14ac:dyDescent="0.25">
      <c r="A480" s="24"/>
      <c r="B480" s="24"/>
      <c r="C480" s="24"/>
      <c r="D480" s="24"/>
      <c r="E480" s="24"/>
      <c r="F480" s="24"/>
      <c r="G480" s="24"/>
      <c r="H480" s="24"/>
      <c r="I480" s="38">
        <f>J475+J476+J477+J478</f>
        <v>171.92000000000002</v>
      </c>
      <c r="J480" s="38"/>
      <c r="K480" s="25">
        <f>IF(Source!I268&lt;&gt;0, ROUND(I480/Source!I268, 2), 0)</f>
        <v>859.6</v>
      </c>
      <c r="P480" s="23">
        <f>I480</f>
        <v>171.92000000000002</v>
      </c>
    </row>
    <row r="481" spans="1:22" ht="57" x14ac:dyDescent="0.2">
      <c r="A481" s="18">
        <v>55</v>
      </c>
      <c r="B481" s="18" t="str">
        <f>Source!F269</f>
        <v>1.18-2203-3-1/1</v>
      </c>
      <c r="C481" s="18" t="str">
        <f>Source!G269</f>
        <v>Техническое обслуживание клапанов обратных воздушных диаметром/периметром до 560/1600 мм</v>
      </c>
      <c r="D481" s="19" t="str">
        <f>Source!H269</f>
        <v>шт.</v>
      </c>
      <c r="E481" s="9">
        <f>Source!I269</f>
        <v>16</v>
      </c>
      <c r="F481" s="21"/>
      <c r="G481" s="20"/>
      <c r="H481" s="9"/>
      <c r="I481" s="9"/>
      <c r="J481" s="21"/>
      <c r="K481" s="21"/>
      <c r="Q481">
        <f>ROUND((Source!BZ269/100)*ROUND((Source!AF269*Source!AV269)*Source!I269, 2), 2)</f>
        <v>2376.42</v>
      </c>
      <c r="R481">
        <f>Source!X269</f>
        <v>2376.42</v>
      </c>
      <c r="S481">
        <f>ROUND((Source!CA269/100)*ROUND((Source!AF269*Source!AV269)*Source!I269, 2), 2)</f>
        <v>339.49</v>
      </c>
      <c r="T481">
        <f>Source!Y269</f>
        <v>339.49</v>
      </c>
      <c r="U481">
        <f>ROUND((175/100)*ROUND((Source!AE269*Source!AV269)*Source!I269, 2), 2)</f>
        <v>905.52</v>
      </c>
      <c r="V481">
        <f>ROUND((108/100)*ROUND(Source!CS269*Source!I269, 2), 2)</f>
        <v>558.84</v>
      </c>
    </row>
    <row r="482" spans="1:22" ht="14.25" x14ac:dyDescent="0.2">
      <c r="A482" s="18"/>
      <c r="B482" s="18"/>
      <c r="C482" s="18" t="s">
        <v>641</v>
      </c>
      <c r="D482" s="19"/>
      <c r="E482" s="9"/>
      <c r="F482" s="21">
        <f>Source!AO269</f>
        <v>106.09</v>
      </c>
      <c r="G482" s="20" t="str">
        <f>Source!DG269</f>
        <v>)*2</v>
      </c>
      <c r="H482" s="9">
        <f>Source!AV269</f>
        <v>1</v>
      </c>
      <c r="I482" s="9">
        <f>IF(Source!BA269&lt;&gt; 0, Source!BA269, 1)</f>
        <v>1</v>
      </c>
      <c r="J482" s="21">
        <f>Source!S269</f>
        <v>3394.88</v>
      </c>
      <c r="K482" s="21"/>
    </row>
    <row r="483" spans="1:22" ht="14.25" x14ac:dyDescent="0.2">
      <c r="A483" s="18"/>
      <c r="B483" s="18"/>
      <c r="C483" s="18" t="s">
        <v>647</v>
      </c>
      <c r="D483" s="19"/>
      <c r="E483" s="9"/>
      <c r="F483" s="21">
        <f>Source!AM269</f>
        <v>29.81</v>
      </c>
      <c r="G483" s="20" t="str">
        <f>Source!DE269</f>
        <v>)*2</v>
      </c>
      <c r="H483" s="9">
        <f>Source!AV269</f>
        <v>1</v>
      </c>
      <c r="I483" s="9">
        <f>IF(Source!BB269&lt;&gt; 0, Source!BB269, 1)</f>
        <v>1</v>
      </c>
      <c r="J483" s="21">
        <f>Source!Q269</f>
        <v>953.92</v>
      </c>
      <c r="K483" s="21"/>
    </row>
    <row r="484" spans="1:22" ht="14.25" x14ac:dyDescent="0.2">
      <c r="A484" s="18"/>
      <c r="B484" s="18"/>
      <c r="C484" s="18" t="s">
        <v>648</v>
      </c>
      <c r="D484" s="19"/>
      <c r="E484" s="9"/>
      <c r="F484" s="21">
        <f>Source!AN269</f>
        <v>16.170000000000002</v>
      </c>
      <c r="G484" s="20" t="str">
        <f>Source!DF269</f>
        <v>)*2</v>
      </c>
      <c r="H484" s="9">
        <f>Source!AV269</f>
        <v>1</v>
      </c>
      <c r="I484" s="9">
        <f>IF(Source!BS269&lt;&gt; 0, Source!BS269, 1)</f>
        <v>1</v>
      </c>
      <c r="J484" s="26">
        <f>Source!R269</f>
        <v>517.44000000000005</v>
      </c>
      <c r="K484" s="21"/>
    </row>
    <row r="485" spans="1:22" ht="14.25" x14ac:dyDescent="0.2">
      <c r="A485" s="18"/>
      <c r="B485" s="18"/>
      <c r="C485" s="18" t="s">
        <v>649</v>
      </c>
      <c r="D485" s="19"/>
      <c r="E485" s="9"/>
      <c r="F485" s="21">
        <f>Source!AL269</f>
        <v>0.39</v>
      </c>
      <c r="G485" s="20" t="str">
        <f>Source!DD269</f>
        <v>)*2</v>
      </c>
      <c r="H485" s="9">
        <f>Source!AW269</f>
        <v>1</v>
      </c>
      <c r="I485" s="9">
        <f>IF(Source!BC269&lt;&gt; 0, Source!BC269, 1)</f>
        <v>1</v>
      </c>
      <c r="J485" s="21">
        <f>Source!P269</f>
        <v>12.48</v>
      </c>
      <c r="K485" s="21"/>
    </row>
    <row r="486" spans="1:22" ht="14.25" x14ac:dyDescent="0.2">
      <c r="A486" s="18"/>
      <c r="B486" s="18"/>
      <c r="C486" s="18" t="s">
        <v>642</v>
      </c>
      <c r="D486" s="19" t="s">
        <v>643</v>
      </c>
      <c r="E486" s="9">
        <f>Source!AT269</f>
        <v>70</v>
      </c>
      <c r="F486" s="21"/>
      <c r="G486" s="20"/>
      <c r="H486" s="9"/>
      <c r="I486" s="9"/>
      <c r="J486" s="21">
        <f>SUM(R481:R485)</f>
        <v>2376.42</v>
      </c>
      <c r="K486" s="21"/>
    </row>
    <row r="487" spans="1:22" ht="14.25" x14ac:dyDescent="0.2">
      <c r="A487" s="18"/>
      <c r="B487" s="18"/>
      <c r="C487" s="18" t="s">
        <v>644</v>
      </c>
      <c r="D487" s="19" t="s">
        <v>643</v>
      </c>
      <c r="E487" s="9">
        <f>Source!AU269</f>
        <v>10</v>
      </c>
      <c r="F487" s="21"/>
      <c r="G487" s="20"/>
      <c r="H487" s="9"/>
      <c r="I487" s="9"/>
      <c r="J487" s="21">
        <f>SUM(T481:T486)</f>
        <v>339.49</v>
      </c>
      <c r="K487" s="21"/>
    </row>
    <row r="488" spans="1:22" ht="14.25" x14ac:dyDescent="0.2">
      <c r="A488" s="18"/>
      <c r="B488" s="18"/>
      <c r="C488" s="18" t="s">
        <v>650</v>
      </c>
      <c r="D488" s="19" t="s">
        <v>643</v>
      </c>
      <c r="E488" s="9">
        <f>108</f>
        <v>108</v>
      </c>
      <c r="F488" s="21"/>
      <c r="G488" s="20"/>
      <c r="H488" s="9"/>
      <c r="I488" s="9"/>
      <c r="J488" s="21">
        <f>SUM(V481:V487)</f>
        <v>558.84</v>
      </c>
      <c r="K488" s="21"/>
    </row>
    <row r="489" spans="1:22" ht="14.25" x14ac:dyDescent="0.2">
      <c r="A489" s="18"/>
      <c r="B489" s="18"/>
      <c r="C489" s="18" t="s">
        <v>645</v>
      </c>
      <c r="D489" s="19" t="s">
        <v>646</v>
      </c>
      <c r="E489" s="9">
        <f>Source!AQ269</f>
        <v>0.2</v>
      </c>
      <c r="F489" s="21"/>
      <c r="G489" s="20" t="str">
        <f>Source!DI269</f>
        <v>)*2</v>
      </c>
      <c r="H489" s="9">
        <f>Source!AV269</f>
        <v>1</v>
      </c>
      <c r="I489" s="9"/>
      <c r="J489" s="21"/>
      <c r="K489" s="21">
        <f>Source!U269</f>
        <v>6.4</v>
      </c>
    </row>
    <row r="490" spans="1:22" ht="15" x14ac:dyDescent="0.25">
      <c r="A490" s="24"/>
      <c r="B490" s="24"/>
      <c r="C490" s="24"/>
      <c r="D490" s="24"/>
      <c r="E490" s="24"/>
      <c r="F490" s="24"/>
      <c r="G490" s="24"/>
      <c r="H490" s="24"/>
      <c r="I490" s="38">
        <f>J482+J483+J485+J486+J487+J488</f>
        <v>7636.03</v>
      </c>
      <c r="J490" s="38"/>
      <c r="K490" s="25">
        <f>IF(Source!I269&lt;&gt;0, ROUND(I490/Source!I269, 2), 0)</f>
        <v>477.25</v>
      </c>
      <c r="P490" s="23">
        <f>I490</f>
        <v>7636.03</v>
      </c>
    </row>
    <row r="491" spans="1:22" ht="28.5" x14ac:dyDescent="0.2">
      <c r="A491" s="18">
        <v>56</v>
      </c>
      <c r="B491" s="18" t="str">
        <f>Source!F270</f>
        <v>1.23-2103-41-1/1</v>
      </c>
      <c r="C491" s="18" t="str">
        <f>Source!G270</f>
        <v>Техническое обслуживание регулирующего клапана / сидельный</v>
      </c>
      <c r="D491" s="19" t="str">
        <f>Source!H270</f>
        <v>шт.</v>
      </c>
      <c r="E491" s="9">
        <f>Source!I270</f>
        <v>1</v>
      </c>
      <c r="F491" s="21"/>
      <c r="G491" s="20"/>
      <c r="H491" s="9"/>
      <c r="I491" s="9"/>
      <c r="J491" s="21"/>
      <c r="K491" s="21"/>
      <c r="Q491">
        <f>ROUND((Source!BZ270/100)*ROUND((Source!AF270*Source!AV270)*Source!I270, 2), 2)</f>
        <v>250.15</v>
      </c>
      <c r="R491">
        <f>Source!X270</f>
        <v>250.15</v>
      </c>
      <c r="S491">
        <f>ROUND((Source!CA270/100)*ROUND((Source!AF270*Source!AV270)*Source!I270, 2), 2)</f>
        <v>35.74</v>
      </c>
      <c r="T491">
        <f>Source!Y270</f>
        <v>35.74</v>
      </c>
      <c r="U491">
        <f>ROUND((175/100)*ROUND((Source!AE270*Source!AV270)*Source!I270, 2), 2)</f>
        <v>169.79</v>
      </c>
      <c r="V491">
        <f>ROUND((108/100)*ROUND(Source!CS270*Source!I270, 2), 2)</f>
        <v>104.78</v>
      </c>
    </row>
    <row r="492" spans="1:22" ht="14.25" x14ac:dyDescent="0.2">
      <c r="A492" s="18"/>
      <c r="B492" s="18"/>
      <c r="C492" s="18" t="s">
        <v>641</v>
      </c>
      <c r="D492" s="19"/>
      <c r="E492" s="9"/>
      <c r="F492" s="21">
        <f>Source!AO270</f>
        <v>178.68</v>
      </c>
      <c r="G492" s="20" t="str">
        <f>Source!DG270</f>
        <v>)*2</v>
      </c>
      <c r="H492" s="9">
        <f>Source!AV270</f>
        <v>1</v>
      </c>
      <c r="I492" s="9">
        <f>IF(Source!BA270&lt;&gt; 0, Source!BA270, 1)</f>
        <v>1</v>
      </c>
      <c r="J492" s="21">
        <f>Source!S270</f>
        <v>357.36</v>
      </c>
      <c r="K492" s="21"/>
    </row>
    <row r="493" spans="1:22" ht="14.25" x14ac:dyDescent="0.2">
      <c r="A493" s="18"/>
      <c r="B493" s="18"/>
      <c r="C493" s="18" t="s">
        <v>647</v>
      </c>
      <c r="D493" s="19"/>
      <c r="E493" s="9"/>
      <c r="F493" s="21">
        <f>Source!AM270</f>
        <v>89.43</v>
      </c>
      <c r="G493" s="20" t="str">
        <f>Source!DE270</f>
        <v>)*2</v>
      </c>
      <c r="H493" s="9">
        <f>Source!AV270</f>
        <v>1</v>
      </c>
      <c r="I493" s="9">
        <f>IF(Source!BB270&lt;&gt; 0, Source!BB270, 1)</f>
        <v>1</v>
      </c>
      <c r="J493" s="21">
        <f>Source!Q270</f>
        <v>178.86</v>
      </c>
      <c r="K493" s="21"/>
    </row>
    <row r="494" spans="1:22" ht="14.25" x14ac:dyDescent="0.2">
      <c r="A494" s="18"/>
      <c r="B494" s="18"/>
      <c r="C494" s="18" t="s">
        <v>648</v>
      </c>
      <c r="D494" s="19"/>
      <c r="E494" s="9"/>
      <c r="F494" s="21">
        <f>Source!AN270</f>
        <v>48.51</v>
      </c>
      <c r="G494" s="20" t="str">
        <f>Source!DF270</f>
        <v>)*2</v>
      </c>
      <c r="H494" s="9">
        <f>Source!AV270</f>
        <v>1</v>
      </c>
      <c r="I494" s="9">
        <f>IF(Source!BS270&lt;&gt; 0, Source!BS270, 1)</f>
        <v>1</v>
      </c>
      <c r="J494" s="26">
        <f>Source!R270</f>
        <v>97.02</v>
      </c>
      <c r="K494" s="21"/>
    </row>
    <row r="495" spans="1:22" ht="14.25" x14ac:dyDescent="0.2">
      <c r="A495" s="18"/>
      <c r="B495" s="18"/>
      <c r="C495" s="18" t="s">
        <v>642</v>
      </c>
      <c r="D495" s="19" t="s">
        <v>643</v>
      </c>
      <c r="E495" s="9">
        <f>Source!AT270</f>
        <v>70</v>
      </c>
      <c r="F495" s="21"/>
      <c r="G495" s="20"/>
      <c r="H495" s="9"/>
      <c r="I495" s="9"/>
      <c r="J495" s="21">
        <f>SUM(R491:R494)</f>
        <v>250.15</v>
      </c>
      <c r="K495" s="21"/>
    </row>
    <row r="496" spans="1:22" ht="14.25" x14ac:dyDescent="0.2">
      <c r="A496" s="18"/>
      <c r="B496" s="18"/>
      <c r="C496" s="18" t="s">
        <v>644</v>
      </c>
      <c r="D496" s="19" t="s">
        <v>643</v>
      </c>
      <c r="E496" s="9">
        <f>Source!AU270</f>
        <v>10</v>
      </c>
      <c r="F496" s="21"/>
      <c r="G496" s="20"/>
      <c r="H496" s="9"/>
      <c r="I496" s="9"/>
      <c r="J496" s="21">
        <f>SUM(T491:T495)</f>
        <v>35.74</v>
      </c>
      <c r="K496" s="21"/>
    </row>
    <row r="497" spans="1:22" ht="14.25" x14ac:dyDescent="0.2">
      <c r="A497" s="18"/>
      <c r="B497" s="18"/>
      <c r="C497" s="18" t="s">
        <v>650</v>
      </c>
      <c r="D497" s="19" t="s">
        <v>643</v>
      </c>
      <c r="E497" s="9">
        <f>108</f>
        <v>108</v>
      </c>
      <c r="F497" s="21"/>
      <c r="G497" s="20"/>
      <c r="H497" s="9"/>
      <c r="I497" s="9"/>
      <c r="J497" s="21">
        <f>SUM(V491:V496)</f>
        <v>104.78</v>
      </c>
      <c r="K497" s="21"/>
    </row>
    <row r="498" spans="1:22" ht="14.25" x14ac:dyDescent="0.2">
      <c r="A498" s="18"/>
      <c r="B498" s="18"/>
      <c r="C498" s="18" t="s">
        <v>645</v>
      </c>
      <c r="D498" s="19" t="s">
        <v>646</v>
      </c>
      <c r="E498" s="9">
        <f>Source!AQ270</f>
        <v>0.37</v>
      </c>
      <c r="F498" s="21"/>
      <c r="G498" s="20" t="str">
        <f>Source!DI270</f>
        <v>)*2</v>
      </c>
      <c r="H498" s="9">
        <f>Source!AV270</f>
        <v>1</v>
      </c>
      <c r="I498" s="9"/>
      <c r="J498" s="21"/>
      <c r="K498" s="21">
        <f>Source!U270</f>
        <v>0.74</v>
      </c>
    </row>
    <row r="499" spans="1:22" ht="15" x14ac:dyDescent="0.25">
      <c r="A499" s="24"/>
      <c r="B499" s="24"/>
      <c r="C499" s="24"/>
      <c r="D499" s="24"/>
      <c r="E499" s="24"/>
      <c r="F499" s="24"/>
      <c r="G499" s="24"/>
      <c r="H499" s="24"/>
      <c r="I499" s="38">
        <f>J492+J493+J495+J496+J497</f>
        <v>926.89</v>
      </c>
      <c r="J499" s="38"/>
      <c r="K499" s="25">
        <f>IF(Source!I270&lt;&gt;0, ROUND(I499/Source!I270, 2), 0)</f>
        <v>926.89</v>
      </c>
      <c r="P499" s="23">
        <f>I499</f>
        <v>926.89</v>
      </c>
    </row>
    <row r="500" spans="1:22" ht="28.5" x14ac:dyDescent="0.2">
      <c r="A500" s="18">
        <v>57</v>
      </c>
      <c r="B500" s="18" t="str">
        <f>Source!F271</f>
        <v>1.15-2201-1-1/1</v>
      </c>
      <c r="C500" s="18" t="str">
        <f>Source!G271</f>
        <v>Осмотр крана спускного</v>
      </c>
      <c r="D500" s="19" t="str">
        <f>Source!H271</f>
        <v>шт.</v>
      </c>
      <c r="E500" s="9">
        <f>Source!I271</f>
        <v>18</v>
      </c>
      <c r="F500" s="21"/>
      <c r="G500" s="20"/>
      <c r="H500" s="9"/>
      <c r="I500" s="9"/>
      <c r="J500" s="21"/>
      <c r="K500" s="21"/>
      <c r="Q500">
        <f>ROUND((Source!BZ271/100)*ROUND((Source!AF271*Source!AV271)*Source!I271, 2), 2)</f>
        <v>1604.23</v>
      </c>
      <c r="R500">
        <f>Source!X271</f>
        <v>1604.23</v>
      </c>
      <c r="S500">
        <f>ROUND((Source!CA271/100)*ROUND((Source!AF271*Source!AV271)*Source!I271, 2), 2)</f>
        <v>229.18</v>
      </c>
      <c r="T500">
        <f>Source!Y271</f>
        <v>229.18</v>
      </c>
      <c r="U500">
        <f>ROUND((175/100)*ROUND((Source!AE271*Source!AV271)*Source!I271, 2), 2)</f>
        <v>0</v>
      </c>
      <c r="V500">
        <f>ROUND((108/100)*ROUND(Source!CS271*Source!I271, 2), 2)</f>
        <v>0</v>
      </c>
    </row>
    <row r="501" spans="1:22" ht="14.25" x14ac:dyDescent="0.2">
      <c r="A501" s="18"/>
      <c r="B501" s="18"/>
      <c r="C501" s="18" t="s">
        <v>641</v>
      </c>
      <c r="D501" s="19"/>
      <c r="E501" s="9"/>
      <c r="F501" s="21">
        <f>Source!AO271</f>
        <v>31.83</v>
      </c>
      <c r="G501" s="20" t="str">
        <f>Source!DG271</f>
        <v>)*4</v>
      </c>
      <c r="H501" s="9">
        <f>Source!AV271</f>
        <v>1</v>
      </c>
      <c r="I501" s="9">
        <f>IF(Source!BA271&lt;&gt; 0, Source!BA271, 1)</f>
        <v>1</v>
      </c>
      <c r="J501" s="21">
        <f>Source!S271</f>
        <v>2291.7600000000002</v>
      </c>
      <c r="K501" s="21"/>
    </row>
    <row r="502" spans="1:22" ht="14.25" x14ac:dyDescent="0.2">
      <c r="A502" s="18"/>
      <c r="B502" s="18"/>
      <c r="C502" s="18" t="s">
        <v>642</v>
      </c>
      <c r="D502" s="19" t="s">
        <v>643</v>
      </c>
      <c r="E502" s="9">
        <f>Source!AT271</f>
        <v>70</v>
      </c>
      <c r="F502" s="21"/>
      <c r="G502" s="20"/>
      <c r="H502" s="9"/>
      <c r="I502" s="9"/>
      <c r="J502" s="21">
        <f>SUM(R500:R501)</f>
        <v>1604.23</v>
      </c>
      <c r="K502" s="21"/>
    </row>
    <row r="503" spans="1:22" ht="14.25" x14ac:dyDescent="0.2">
      <c r="A503" s="18"/>
      <c r="B503" s="18"/>
      <c r="C503" s="18" t="s">
        <v>644</v>
      </c>
      <c r="D503" s="19" t="s">
        <v>643</v>
      </c>
      <c r="E503" s="9">
        <f>Source!AU271</f>
        <v>10</v>
      </c>
      <c r="F503" s="21"/>
      <c r="G503" s="20"/>
      <c r="H503" s="9"/>
      <c r="I503" s="9"/>
      <c r="J503" s="21">
        <f>SUM(T500:T502)</f>
        <v>229.18</v>
      </c>
      <c r="K503" s="21"/>
    </row>
    <row r="504" spans="1:22" ht="14.25" x14ac:dyDescent="0.2">
      <c r="A504" s="18"/>
      <c r="B504" s="18"/>
      <c r="C504" s="18" t="s">
        <v>645</v>
      </c>
      <c r="D504" s="19" t="s">
        <v>646</v>
      </c>
      <c r="E504" s="9">
        <f>Source!AQ271</f>
        <v>0.06</v>
      </c>
      <c r="F504" s="21"/>
      <c r="G504" s="20" t="str">
        <f>Source!DI271</f>
        <v>)*4</v>
      </c>
      <c r="H504" s="9">
        <f>Source!AV271</f>
        <v>1</v>
      </c>
      <c r="I504" s="9"/>
      <c r="J504" s="21"/>
      <c r="K504" s="21">
        <f>Source!U271</f>
        <v>4.32</v>
      </c>
    </row>
    <row r="505" spans="1:22" ht="15" x14ac:dyDescent="0.25">
      <c r="A505" s="24"/>
      <c r="B505" s="24"/>
      <c r="C505" s="24"/>
      <c r="D505" s="24"/>
      <c r="E505" s="24"/>
      <c r="F505" s="24"/>
      <c r="G505" s="24"/>
      <c r="H505" s="24"/>
      <c r="I505" s="38">
        <f>J501+J502+J503</f>
        <v>4125.17</v>
      </c>
      <c r="J505" s="38"/>
      <c r="K505" s="25">
        <f>IF(Source!I271&lt;&gt;0, ROUND(I505/Source!I271, 2), 0)</f>
        <v>229.18</v>
      </c>
      <c r="P505" s="23">
        <f>I505</f>
        <v>4125.17</v>
      </c>
    </row>
    <row r="507" spans="1:22" ht="15" x14ac:dyDescent="0.25">
      <c r="A507" s="36" t="str">
        <f>CONCATENATE("Итого по разделу: ",IF(Source!G273&lt;&gt;"Новый раздел", Source!G273, ""))</f>
        <v>Итого по разделу: Теплоснабжение</v>
      </c>
      <c r="B507" s="36"/>
      <c r="C507" s="36"/>
      <c r="D507" s="36"/>
      <c r="E507" s="36"/>
      <c r="F507" s="36"/>
      <c r="G507" s="36"/>
      <c r="H507" s="36"/>
      <c r="I507" s="34">
        <f>SUM(P463:P506)</f>
        <v>14713.779999999999</v>
      </c>
      <c r="J507" s="35"/>
      <c r="K507" s="28"/>
    </row>
    <row r="510" spans="1:22" ht="15" x14ac:dyDescent="0.25">
      <c r="A510" s="36" t="str">
        <f>CONCATENATE("Итого по локальной смете: ",IF(Source!G303&lt;&gt;"Новая локальная смета", Source!G303, ""))</f>
        <v xml:space="preserve">Итого по локальной смете: </v>
      </c>
      <c r="B510" s="36"/>
      <c r="C510" s="36"/>
      <c r="D510" s="36"/>
      <c r="E510" s="36"/>
      <c r="F510" s="36"/>
      <c r="G510" s="36"/>
      <c r="H510" s="36"/>
      <c r="I510" s="34">
        <f>SUM(P32:P509)</f>
        <v>1176523.1099999999</v>
      </c>
      <c r="J510" s="35"/>
      <c r="K510" s="28"/>
    </row>
    <row r="513" spans="1:22" ht="16.5" x14ac:dyDescent="0.25">
      <c r="A513" s="37" t="str">
        <f>CONCATENATE("Локальная смета: ",IF(Source!G333&lt;&gt;"Новая локальная смета", Source!G333, ""))</f>
        <v>Локальная смета: Техническое обслуживание инженерных систем ИТП</v>
      </c>
      <c r="B513" s="37"/>
      <c r="C513" s="37"/>
      <c r="D513" s="37"/>
      <c r="E513" s="37"/>
      <c r="F513" s="37"/>
      <c r="G513" s="37"/>
      <c r="H513" s="37"/>
      <c r="I513" s="37"/>
      <c r="J513" s="37"/>
      <c r="K513" s="37"/>
    </row>
    <row r="515" spans="1:22" ht="16.5" x14ac:dyDescent="0.25">
      <c r="A515" s="37" t="str">
        <f>CONCATENATE("Раздел: ",IF(Source!G337&lt;&gt;"Новый раздел", Source!G337, ""))</f>
        <v>Раздел: ИТП</v>
      </c>
      <c r="B515" s="37"/>
      <c r="C515" s="37"/>
      <c r="D515" s="37"/>
      <c r="E515" s="37"/>
      <c r="F515" s="37"/>
      <c r="G515" s="37"/>
      <c r="H515" s="37"/>
      <c r="I515" s="37"/>
      <c r="J515" s="37"/>
      <c r="K515" s="37"/>
    </row>
    <row r="517" spans="1:22" ht="16.5" x14ac:dyDescent="0.25">
      <c r="A517" s="37" t="str">
        <f>CONCATENATE("Подраздел: ",IF(Source!G341&lt;&gt;"Новый подраздел", Source!G341, ""))</f>
        <v>Подраздел: Техническое  обслуживание годовое</v>
      </c>
      <c r="B517" s="37"/>
      <c r="C517" s="37"/>
      <c r="D517" s="37"/>
      <c r="E517" s="37"/>
      <c r="F517" s="37"/>
      <c r="G517" s="37"/>
      <c r="H517" s="37"/>
      <c r="I517" s="37"/>
      <c r="J517" s="37"/>
      <c r="K517" s="37"/>
    </row>
    <row r="518" spans="1:22" ht="28.5" x14ac:dyDescent="0.2">
      <c r="A518" s="18">
        <v>1</v>
      </c>
      <c r="B518" s="18" t="str">
        <f>Source!F347</f>
        <v>1.24-2501-14-1/1</v>
      </c>
      <c r="C518" s="18" t="str">
        <f>Source!G347</f>
        <v>Осмотр теплообменника пластинчатого</v>
      </c>
      <c r="D518" s="19" t="str">
        <f>Source!H347</f>
        <v>10 шт.</v>
      </c>
      <c r="E518" s="9">
        <f>Source!I347</f>
        <v>0.1</v>
      </c>
      <c r="F518" s="21"/>
      <c r="G518" s="20"/>
      <c r="H518" s="9"/>
      <c r="I518" s="9"/>
      <c r="J518" s="21"/>
      <c r="K518" s="21"/>
      <c r="Q518">
        <f>ROUND((Source!BZ347/100)*ROUND((Source!AF347*Source!AV347)*Source!I347, 2), 2)</f>
        <v>66.84</v>
      </c>
      <c r="R518">
        <f>Source!X347</f>
        <v>66.84</v>
      </c>
      <c r="S518">
        <f>ROUND((Source!CA347/100)*ROUND((Source!AF347*Source!AV347)*Source!I347, 2), 2)</f>
        <v>9.5500000000000007</v>
      </c>
      <c r="T518">
        <f>Source!Y347</f>
        <v>9.5500000000000007</v>
      </c>
      <c r="U518">
        <f>ROUND((175/100)*ROUND((Source!AE347*Source!AV347)*Source!I347, 2), 2)</f>
        <v>0</v>
      </c>
      <c r="V518">
        <f>ROUND((108/100)*ROUND(Source!CS347*Source!I347, 2), 2)</f>
        <v>0</v>
      </c>
    </row>
    <row r="519" spans="1:22" x14ac:dyDescent="0.2">
      <c r="C519" s="22" t="str">
        <f>"Объем: "&amp;Source!I347&amp;"=(1)/"&amp;"10"</f>
        <v>Объем: 0,1=(1)/10</v>
      </c>
    </row>
    <row r="520" spans="1:22" ht="14.25" x14ac:dyDescent="0.2">
      <c r="A520" s="18"/>
      <c r="B520" s="18"/>
      <c r="C520" s="18" t="s">
        <v>641</v>
      </c>
      <c r="D520" s="19"/>
      <c r="E520" s="9"/>
      <c r="F520" s="21">
        <f>Source!AO347</f>
        <v>238.7</v>
      </c>
      <c r="G520" s="20" t="str">
        <f>Source!DG347</f>
        <v>)*4</v>
      </c>
      <c r="H520" s="9">
        <f>Source!AV347</f>
        <v>1</v>
      </c>
      <c r="I520" s="9">
        <f>IF(Source!BA347&lt;&gt; 0, Source!BA347, 1)</f>
        <v>1</v>
      </c>
      <c r="J520" s="21">
        <f>Source!S347</f>
        <v>95.48</v>
      </c>
      <c r="K520" s="21"/>
    </row>
    <row r="521" spans="1:22" ht="14.25" x14ac:dyDescent="0.2">
      <c r="A521" s="18"/>
      <c r="B521" s="18"/>
      <c r="C521" s="18" t="s">
        <v>642</v>
      </c>
      <c r="D521" s="19" t="s">
        <v>643</v>
      </c>
      <c r="E521" s="9">
        <f>Source!AT347</f>
        <v>70</v>
      </c>
      <c r="F521" s="21"/>
      <c r="G521" s="20"/>
      <c r="H521" s="9"/>
      <c r="I521" s="9"/>
      <c r="J521" s="21">
        <f>SUM(R518:R520)</f>
        <v>66.84</v>
      </c>
      <c r="K521" s="21"/>
    </row>
    <row r="522" spans="1:22" ht="14.25" x14ac:dyDescent="0.2">
      <c r="A522" s="18"/>
      <c r="B522" s="18"/>
      <c r="C522" s="18" t="s">
        <v>644</v>
      </c>
      <c r="D522" s="19" t="s">
        <v>643</v>
      </c>
      <c r="E522" s="9">
        <f>Source!AU347</f>
        <v>10</v>
      </c>
      <c r="F522" s="21"/>
      <c r="G522" s="20"/>
      <c r="H522" s="9"/>
      <c r="I522" s="9"/>
      <c r="J522" s="21">
        <f>SUM(T518:T521)</f>
        <v>9.5500000000000007</v>
      </c>
      <c r="K522" s="21"/>
    </row>
    <row r="523" spans="1:22" ht="14.25" x14ac:dyDescent="0.2">
      <c r="A523" s="18"/>
      <c r="B523" s="18"/>
      <c r="C523" s="18" t="s">
        <v>645</v>
      </c>
      <c r="D523" s="19" t="s">
        <v>646</v>
      </c>
      <c r="E523" s="9">
        <f>Source!AQ347</f>
        <v>0.45</v>
      </c>
      <c r="F523" s="21"/>
      <c r="G523" s="20" t="str">
        <f>Source!DI347</f>
        <v>)*4</v>
      </c>
      <c r="H523" s="9">
        <f>Source!AV347</f>
        <v>1</v>
      </c>
      <c r="I523" s="9"/>
      <c r="J523" s="21"/>
      <c r="K523" s="21">
        <f>Source!U347</f>
        <v>0.18000000000000002</v>
      </c>
    </row>
    <row r="524" spans="1:22" ht="15" x14ac:dyDescent="0.25">
      <c r="A524" s="24"/>
      <c r="B524" s="24"/>
      <c r="C524" s="24"/>
      <c r="D524" s="24"/>
      <c r="E524" s="24"/>
      <c r="F524" s="24"/>
      <c r="G524" s="24"/>
      <c r="H524" s="24"/>
      <c r="I524" s="38">
        <f>J520+J521+J522</f>
        <v>171.87</v>
      </c>
      <c r="J524" s="38"/>
      <c r="K524" s="25">
        <f>IF(Source!I347&lt;&gt;0, ROUND(I524/Source!I347, 2), 0)</f>
        <v>1718.7</v>
      </c>
      <c r="P524" s="23">
        <f>I524</f>
        <v>171.87</v>
      </c>
    </row>
    <row r="525" spans="1:22" ht="57" x14ac:dyDescent="0.2">
      <c r="A525" s="18">
        <v>2</v>
      </c>
      <c r="B525" s="18" t="str">
        <f>Source!F349</f>
        <v>1.24-2503-4-18/1</v>
      </c>
      <c r="C525" s="18" t="str">
        <f>Source!G349</f>
        <v>Техническое обслуживание циркуляционных насосов систем отопления с тепловыми насосами - ежемесячное</v>
      </c>
      <c r="D525" s="19" t="str">
        <f>Source!H349</f>
        <v>шт.</v>
      </c>
      <c r="E525" s="9">
        <f>Source!I349</f>
        <v>4</v>
      </c>
      <c r="F525" s="21"/>
      <c r="G525" s="20"/>
      <c r="H525" s="9"/>
      <c r="I525" s="9"/>
      <c r="J525" s="21"/>
      <c r="K525" s="21"/>
      <c r="Q525">
        <f>ROUND((Source!BZ349/100)*ROUND((Source!AF349*Source!AV349)*Source!I349, 2), 2)</f>
        <v>2833.49</v>
      </c>
      <c r="R525">
        <f>Source!X349</f>
        <v>2833.49</v>
      </c>
      <c r="S525">
        <f>ROUND((Source!CA349/100)*ROUND((Source!AF349*Source!AV349)*Source!I349, 2), 2)</f>
        <v>404.78</v>
      </c>
      <c r="T525">
        <f>Source!Y349</f>
        <v>404.78</v>
      </c>
      <c r="U525">
        <f>ROUND((175/100)*ROUND((Source!AE349*Source!AV349)*Source!I349, 2), 2)</f>
        <v>3395.56</v>
      </c>
      <c r="V525">
        <f>ROUND((108/100)*ROUND(Source!CS349*Source!I349, 2), 2)</f>
        <v>2095.5500000000002</v>
      </c>
    </row>
    <row r="526" spans="1:22" ht="14.25" x14ac:dyDescent="0.2">
      <c r="A526" s="18"/>
      <c r="B526" s="18"/>
      <c r="C526" s="18" t="s">
        <v>641</v>
      </c>
      <c r="D526" s="19"/>
      <c r="E526" s="9"/>
      <c r="F526" s="21">
        <f>Source!AO349</f>
        <v>252.99</v>
      </c>
      <c r="G526" s="20" t="str">
        <f>Source!DG349</f>
        <v>)*4</v>
      </c>
      <c r="H526" s="9">
        <f>Source!AV349</f>
        <v>1</v>
      </c>
      <c r="I526" s="9">
        <f>IF(Source!BA349&lt;&gt; 0, Source!BA349, 1)</f>
        <v>1</v>
      </c>
      <c r="J526" s="21">
        <f>Source!S349</f>
        <v>4047.84</v>
      </c>
      <c r="K526" s="21"/>
    </row>
    <row r="527" spans="1:22" ht="14.25" x14ac:dyDescent="0.2">
      <c r="A527" s="18"/>
      <c r="B527" s="18"/>
      <c r="C527" s="18" t="s">
        <v>647</v>
      </c>
      <c r="D527" s="19"/>
      <c r="E527" s="9"/>
      <c r="F527" s="21">
        <f>Source!AM349</f>
        <v>223.57</v>
      </c>
      <c r="G527" s="20" t="str">
        <f>Source!DE349</f>
        <v>)*4</v>
      </c>
      <c r="H527" s="9">
        <f>Source!AV349</f>
        <v>1</v>
      </c>
      <c r="I527" s="9">
        <f>IF(Source!BB349&lt;&gt; 0, Source!BB349, 1)</f>
        <v>1</v>
      </c>
      <c r="J527" s="21">
        <f>Source!Q349</f>
        <v>3577.12</v>
      </c>
      <c r="K527" s="21"/>
    </row>
    <row r="528" spans="1:22" ht="14.25" x14ac:dyDescent="0.2">
      <c r="A528" s="18"/>
      <c r="B528" s="18"/>
      <c r="C528" s="18" t="s">
        <v>648</v>
      </c>
      <c r="D528" s="19"/>
      <c r="E528" s="9"/>
      <c r="F528" s="21">
        <f>Source!AN349</f>
        <v>121.27</v>
      </c>
      <c r="G528" s="20" t="str">
        <f>Source!DF349</f>
        <v>)*4</v>
      </c>
      <c r="H528" s="9">
        <f>Source!AV349</f>
        <v>1</v>
      </c>
      <c r="I528" s="9">
        <f>IF(Source!BS349&lt;&gt; 0, Source!BS349, 1)</f>
        <v>1</v>
      </c>
      <c r="J528" s="26">
        <f>Source!R349</f>
        <v>1940.32</v>
      </c>
      <c r="K528" s="21"/>
    </row>
    <row r="529" spans="1:22" ht="14.25" x14ac:dyDescent="0.2">
      <c r="A529" s="18"/>
      <c r="B529" s="18"/>
      <c r="C529" s="18" t="s">
        <v>649</v>
      </c>
      <c r="D529" s="19"/>
      <c r="E529" s="9"/>
      <c r="F529" s="21">
        <f>Source!AL349</f>
        <v>0.52</v>
      </c>
      <c r="G529" s="20" t="str">
        <f>Source!DD349</f>
        <v>)*4</v>
      </c>
      <c r="H529" s="9">
        <f>Source!AW349</f>
        <v>1</v>
      </c>
      <c r="I529" s="9">
        <f>IF(Source!BC349&lt;&gt; 0, Source!BC349, 1)</f>
        <v>1</v>
      </c>
      <c r="J529" s="21">
        <f>Source!P349</f>
        <v>8.32</v>
      </c>
      <c r="K529" s="21"/>
    </row>
    <row r="530" spans="1:22" ht="14.25" x14ac:dyDescent="0.2">
      <c r="A530" s="18"/>
      <c r="B530" s="18"/>
      <c r="C530" s="18" t="s">
        <v>642</v>
      </c>
      <c r="D530" s="19" t="s">
        <v>643</v>
      </c>
      <c r="E530" s="9">
        <f>Source!AT349</f>
        <v>70</v>
      </c>
      <c r="F530" s="21"/>
      <c r="G530" s="20"/>
      <c r="H530" s="9"/>
      <c r="I530" s="9"/>
      <c r="J530" s="21">
        <f>SUM(R525:R529)</f>
        <v>2833.49</v>
      </c>
      <c r="K530" s="21"/>
    </row>
    <row r="531" spans="1:22" ht="14.25" x14ac:dyDescent="0.2">
      <c r="A531" s="18"/>
      <c r="B531" s="18"/>
      <c r="C531" s="18" t="s">
        <v>644</v>
      </c>
      <c r="D531" s="19" t="s">
        <v>643</v>
      </c>
      <c r="E531" s="9">
        <f>Source!AU349</f>
        <v>10</v>
      </c>
      <c r="F531" s="21"/>
      <c r="G531" s="20"/>
      <c r="H531" s="9"/>
      <c r="I531" s="9"/>
      <c r="J531" s="21">
        <f>SUM(T525:T530)</f>
        <v>404.78</v>
      </c>
      <c r="K531" s="21"/>
    </row>
    <row r="532" spans="1:22" ht="14.25" x14ac:dyDescent="0.2">
      <c r="A532" s="18"/>
      <c r="B532" s="18"/>
      <c r="C532" s="18" t="s">
        <v>650</v>
      </c>
      <c r="D532" s="19" t="s">
        <v>643</v>
      </c>
      <c r="E532" s="9">
        <f>108</f>
        <v>108</v>
      </c>
      <c r="F532" s="21"/>
      <c r="G532" s="20"/>
      <c r="H532" s="9"/>
      <c r="I532" s="9"/>
      <c r="J532" s="21">
        <f>SUM(V525:V531)</f>
        <v>2095.5500000000002</v>
      </c>
      <c r="K532" s="21"/>
    </row>
    <row r="533" spans="1:22" ht="14.25" x14ac:dyDescent="0.2">
      <c r="A533" s="18"/>
      <c r="B533" s="18"/>
      <c r="C533" s="18" t="s">
        <v>645</v>
      </c>
      <c r="D533" s="19" t="s">
        <v>646</v>
      </c>
      <c r="E533" s="9">
        <f>Source!AQ349</f>
        <v>0.42</v>
      </c>
      <c r="F533" s="21"/>
      <c r="G533" s="20" t="str">
        <f>Source!DI349</f>
        <v>)*4</v>
      </c>
      <c r="H533" s="9">
        <f>Source!AV349</f>
        <v>1</v>
      </c>
      <c r="I533" s="9"/>
      <c r="J533" s="21"/>
      <c r="K533" s="21">
        <f>Source!U349</f>
        <v>6.72</v>
      </c>
    </row>
    <row r="534" spans="1:22" ht="15" x14ac:dyDescent="0.25">
      <c r="A534" s="24"/>
      <c r="B534" s="24"/>
      <c r="C534" s="24"/>
      <c r="D534" s="24"/>
      <c r="E534" s="24"/>
      <c r="F534" s="24"/>
      <c r="G534" s="24"/>
      <c r="H534" s="24"/>
      <c r="I534" s="38">
        <f>J526+J527+J529+J530+J531+J532</f>
        <v>12967.100000000002</v>
      </c>
      <c r="J534" s="38"/>
      <c r="K534" s="25">
        <f>IF(Source!I349&lt;&gt;0, ROUND(I534/Source!I349, 2), 0)</f>
        <v>3241.78</v>
      </c>
      <c r="P534" s="23">
        <f>I534</f>
        <v>12967.100000000002</v>
      </c>
    </row>
    <row r="536" spans="1:22" ht="15" x14ac:dyDescent="0.25">
      <c r="B536" s="39" t="str">
        <f>Source!G350</f>
        <v>УУТЭ</v>
      </c>
      <c r="C536" s="39"/>
      <c r="D536" s="39"/>
      <c r="E536" s="39"/>
      <c r="F536" s="39"/>
      <c r="G536" s="39"/>
      <c r="H536" s="39"/>
      <c r="I536" s="39"/>
      <c r="J536" s="39"/>
    </row>
    <row r="537" spans="1:22" ht="28.5" x14ac:dyDescent="0.2">
      <c r="A537" s="18">
        <v>3</v>
      </c>
      <c r="B537" s="18" t="str">
        <f>Source!F351</f>
        <v>1.23-2103-22-3/1</v>
      </c>
      <c r="C537" s="18" t="str">
        <f>Source!G351</f>
        <v>Техническое обслуживание расходомера электромагнитного</v>
      </c>
      <c r="D537" s="19" t="str">
        <f>Source!H351</f>
        <v>шт.</v>
      </c>
      <c r="E537" s="9">
        <f>Source!I351</f>
        <v>1</v>
      </c>
      <c r="F537" s="21"/>
      <c r="G537" s="20"/>
      <c r="H537" s="9"/>
      <c r="I537" s="9"/>
      <c r="J537" s="21"/>
      <c r="K537" s="21"/>
      <c r="Q537">
        <f>ROUND((Source!BZ351/100)*ROUND((Source!AF351*Source!AV351)*Source!I351, 2), 2)</f>
        <v>1795.57</v>
      </c>
      <c r="R537">
        <f>Source!X351</f>
        <v>1795.57</v>
      </c>
      <c r="S537">
        <f>ROUND((Source!CA351/100)*ROUND((Source!AF351*Source!AV351)*Source!I351, 2), 2)</f>
        <v>256.51</v>
      </c>
      <c r="T537">
        <f>Source!Y351</f>
        <v>256.51</v>
      </c>
      <c r="U537">
        <f>ROUND((175/100)*ROUND((Source!AE351*Source!AV351)*Source!I351, 2), 2)</f>
        <v>0</v>
      </c>
      <c r="V537">
        <f>ROUND((108/100)*ROUND(Source!CS351*Source!I351, 2), 2)</f>
        <v>0</v>
      </c>
    </row>
    <row r="538" spans="1:22" ht="14.25" x14ac:dyDescent="0.2">
      <c r="A538" s="18"/>
      <c r="B538" s="18"/>
      <c r="C538" s="18" t="s">
        <v>641</v>
      </c>
      <c r="D538" s="19"/>
      <c r="E538" s="9"/>
      <c r="F538" s="21">
        <f>Source!AO351</f>
        <v>1282.55</v>
      </c>
      <c r="G538" s="20" t="str">
        <f>Source!DG351</f>
        <v>)*2</v>
      </c>
      <c r="H538" s="9">
        <f>Source!AV351</f>
        <v>1</v>
      </c>
      <c r="I538" s="9">
        <f>IF(Source!BA351&lt;&gt; 0, Source!BA351, 1)</f>
        <v>1</v>
      </c>
      <c r="J538" s="21">
        <f>Source!S351</f>
        <v>2565.1</v>
      </c>
      <c r="K538" s="21"/>
    </row>
    <row r="539" spans="1:22" ht="14.25" x14ac:dyDescent="0.2">
      <c r="A539" s="18"/>
      <c r="B539" s="18"/>
      <c r="C539" s="18" t="s">
        <v>649</v>
      </c>
      <c r="D539" s="19"/>
      <c r="E539" s="9"/>
      <c r="F539" s="21">
        <f>Source!AL351</f>
        <v>15.26</v>
      </c>
      <c r="G539" s="20" t="str">
        <f>Source!DD351</f>
        <v>)*2</v>
      </c>
      <c r="H539" s="9">
        <f>Source!AW351</f>
        <v>1</v>
      </c>
      <c r="I539" s="9">
        <f>IF(Source!BC351&lt;&gt; 0, Source!BC351, 1)</f>
        <v>1</v>
      </c>
      <c r="J539" s="21">
        <f>Source!P351</f>
        <v>30.52</v>
      </c>
      <c r="K539" s="21"/>
    </row>
    <row r="540" spans="1:22" ht="14.25" x14ac:dyDescent="0.2">
      <c r="A540" s="18"/>
      <c r="B540" s="18"/>
      <c r="C540" s="18" t="s">
        <v>642</v>
      </c>
      <c r="D540" s="19" t="s">
        <v>643</v>
      </c>
      <c r="E540" s="9">
        <f>Source!AT351</f>
        <v>70</v>
      </c>
      <c r="F540" s="21"/>
      <c r="G540" s="20"/>
      <c r="H540" s="9"/>
      <c r="I540" s="9"/>
      <c r="J540" s="21">
        <f>SUM(R537:R539)</f>
        <v>1795.57</v>
      </c>
      <c r="K540" s="21"/>
    </row>
    <row r="541" spans="1:22" ht="14.25" x14ac:dyDescent="0.2">
      <c r="A541" s="18"/>
      <c r="B541" s="18"/>
      <c r="C541" s="18" t="s">
        <v>644</v>
      </c>
      <c r="D541" s="19" t="s">
        <v>643</v>
      </c>
      <c r="E541" s="9">
        <f>Source!AU351</f>
        <v>10</v>
      </c>
      <c r="F541" s="21"/>
      <c r="G541" s="20"/>
      <c r="H541" s="9"/>
      <c r="I541" s="9"/>
      <c r="J541" s="21">
        <f>SUM(T537:T540)</f>
        <v>256.51</v>
      </c>
      <c r="K541" s="21"/>
    </row>
    <row r="542" spans="1:22" ht="14.25" x14ac:dyDescent="0.2">
      <c r="A542" s="18"/>
      <c r="B542" s="18"/>
      <c r="C542" s="18" t="s">
        <v>645</v>
      </c>
      <c r="D542" s="19" t="s">
        <v>646</v>
      </c>
      <c r="E542" s="9">
        <f>Source!AQ351</f>
        <v>1.8</v>
      </c>
      <c r="F542" s="21"/>
      <c r="G542" s="20" t="str">
        <f>Source!DI351</f>
        <v>)*2</v>
      </c>
      <c r="H542" s="9">
        <f>Source!AV351</f>
        <v>1</v>
      </c>
      <c r="I542" s="9"/>
      <c r="J542" s="21"/>
      <c r="K542" s="21">
        <f>Source!U351</f>
        <v>3.6</v>
      </c>
    </row>
    <row r="543" spans="1:22" ht="15" x14ac:dyDescent="0.25">
      <c r="A543" s="24"/>
      <c r="B543" s="24"/>
      <c r="C543" s="24"/>
      <c r="D543" s="24"/>
      <c r="E543" s="24"/>
      <c r="F543" s="24"/>
      <c r="G543" s="24"/>
      <c r="H543" s="24"/>
      <c r="I543" s="38">
        <f>J538+J539+J540+J541</f>
        <v>4647.7</v>
      </c>
      <c r="J543" s="38"/>
      <c r="K543" s="25">
        <f>IF(Source!I351&lt;&gt;0, ROUND(I543/Source!I351, 2), 0)</f>
        <v>4647.7</v>
      </c>
      <c r="P543" s="23">
        <f>I543</f>
        <v>4647.7</v>
      </c>
    </row>
    <row r="544" spans="1:22" ht="99.75" x14ac:dyDescent="0.2">
      <c r="A544" s="18">
        <v>4</v>
      </c>
      <c r="B544" s="18" t="str">
        <f>Source!F352</f>
        <v>1.23-2103-8-1/1</v>
      </c>
      <c r="C544" s="18" t="str">
        <f>Source!G352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D544" s="19" t="str">
        <f>Source!H352</f>
        <v>шт.</v>
      </c>
      <c r="E544" s="9">
        <f>Source!I352</f>
        <v>1</v>
      </c>
      <c r="F544" s="21"/>
      <c r="G544" s="20"/>
      <c r="H544" s="9"/>
      <c r="I544" s="9"/>
      <c r="J544" s="21"/>
      <c r="K544" s="21"/>
      <c r="Q544">
        <f>ROUND((Source!BZ352/100)*ROUND((Source!AF352*Source!AV352)*Source!I352, 2), 2)</f>
        <v>987.7</v>
      </c>
      <c r="R544">
        <f>Source!X352</f>
        <v>987.7</v>
      </c>
      <c r="S544">
        <f>ROUND((Source!CA352/100)*ROUND((Source!AF352*Source!AV352)*Source!I352, 2), 2)</f>
        <v>141.1</v>
      </c>
      <c r="T544">
        <f>Source!Y352</f>
        <v>141.1</v>
      </c>
      <c r="U544">
        <f>ROUND((175/100)*ROUND((Source!AE352*Source!AV352)*Source!I352, 2), 2)</f>
        <v>0</v>
      </c>
      <c r="V544">
        <f>ROUND((108/100)*ROUND(Source!CS352*Source!I352, 2), 2)</f>
        <v>0</v>
      </c>
    </row>
    <row r="545" spans="1:22" ht="14.25" x14ac:dyDescent="0.2">
      <c r="A545" s="18"/>
      <c r="B545" s="18"/>
      <c r="C545" s="18" t="s">
        <v>641</v>
      </c>
      <c r="D545" s="19"/>
      <c r="E545" s="9"/>
      <c r="F545" s="21">
        <f>Source!AO352</f>
        <v>705.5</v>
      </c>
      <c r="G545" s="20" t="str">
        <f>Source!DG352</f>
        <v>)*2</v>
      </c>
      <c r="H545" s="9">
        <f>Source!AV352</f>
        <v>1</v>
      </c>
      <c r="I545" s="9">
        <f>IF(Source!BA352&lt;&gt; 0, Source!BA352, 1)</f>
        <v>1</v>
      </c>
      <c r="J545" s="21">
        <f>Source!S352</f>
        <v>1411</v>
      </c>
      <c r="K545" s="21"/>
    </row>
    <row r="546" spans="1:22" ht="14.25" x14ac:dyDescent="0.2">
      <c r="A546" s="18"/>
      <c r="B546" s="18"/>
      <c r="C546" s="18" t="s">
        <v>642</v>
      </c>
      <c r="D546" s="19" t="s">
        <v>643</v>
      </c>
      <c r="E546" s="9">
        <f>Source!AT352</f>
        <v>70</v>
      </c>
      <c r="F546" s="21"/>
      <c r="G546" s="20"/>
      <c r="H546" s="9"/>
      <c r="I546" s="9"/>
      <c r="J546" s="21">
        <f>SUM(R544:R545)</f>
        <v>987.7</v>
      </c>
      <c r="K546" s="21"/>
    </row>
    <row r="547" spans="1:22" ht="14.25" x14ac:dyDescent="0.2">
      <c r="A547" s="18"/>
      <c r="B547" s="18"/>
      <c r="C547" s="18" t="s">
        <v>644</v>
      </c>
      <c r="D547" s="19" t="s">
        <v>643</v>
      </c>
      <c r="E547" s="9">
        <f>Source!AU352</f>
        <v>10</v>
      </c>
      <c r="F547" s="21"/>
      <c r="G547" s="20"/>
      <c r="H547" s="9"/>
      <c r="I547" s="9"/>
      <c r="J547" s="21">
        <f>SUM(T544:T546)</f>
        <v>141.1</v>
      </c>
      <c r="K547" s="21"/>
    </row>
    <row r="548" spans="1:22" ht="14.25" x14ac:dyDescent="0.2">
      <c r="A548" s="18"/>
      <c r="B548" s="18"/>
      <c r="C548" s="18" t="s">
        <v>645</v>
      </c>
      <c r="D548" s="19" t="s">
        <v>646</v>
      </c>
      <c r="E548" s="9">
        <f>Source!AQ352</f>
        <v>1.33</v>
      </c>
      <c r="F548" s="21"/>
      <c r="G548" s="20" t="str">
        <f>Source!DI352</f>
        <v>)*2</v>
      </c>
      <c r="H548" s="9">
        <f>Source!AV352</f>
        <v>1</v>
      </c>
      <c r="I548" s="9"/>
      <c r="J548" s="21"/>
      <c r="K548" s="21">
        <f>Source!U352</f>
        <v>2.66</v>
      </c>
    </row>
    <row r="549" spans="1:22" ht="15" x14ac:dyDescent="0.25">
      <c r="A549" s="24"/>
      <c r="B549" s="24"/>
      <c r="C549" s="24"/>
      <c r="D549" s="24"/>
      <c r="E549" s="24"/>
      <c r="F549" s="24"/>
      <c r="G549" s="24"/>
      <c r="H549" s="24"/>
      <c r="I549" s="38">
        <f>J545+J546+J547</f>
        <v>2539.7999999999997</v>
      </c>
      <c r="J549" s="38"/>
      <c r="K549" s="25">
        <f>IF(Source!I352&lt;&gt;0, ROUND(I549/Source!I352, 2), 0)</f>
        <v>2539.8000000000002</v>
      </c>
      <c r="P549" s="23">
        <f>I549</f>
        <v>2539.7999999999997</v>
      </c>
    </row>
    <row r="550" spans="1:22" ht="57" x14ac:dyDescent="0.2">
      <c r="A550" s="18">
        <v>5</v>
      </c>
      <c r="B550" s="18" t="str">
        <f>Source!F353</f>
        <v>1.23-2103-22-3/1</v>
      </c>
      <c r="C550" s="18" t="str">
        <f>Source!G353</f>
        <v>Техническое обслуживание расходомера электромагнитного / расходомер электромагнитный фланцевый</v>
      </c>
      <c r="D550" s="19" t="str">
        <f>Source!H353</f>
        <v>шт.</v>
      </c>
      <c r="E550" s="9">
        <f>Source!I353</f>
        <v>3</v>
      </c>
      <c r="F550" s="21"/>
      <c r="G550" s="20"/>
      <c r="H550" s="9"/>
      <c r="I550" s="9"/>
      <c r="J550" s="21"/>
      <c r="K550" s="21"/>
      <c r="Q550">
        <f>ROUND((Source!BZ353/100)*ROUND((Source!AF353*Source!AV353)*Source!I353, 2), 2)</f>
        <v>5386.71</v>
      </c>
      <c r="R550">
        <f>Source!X353</f>
        <v>5386.71</v>
      </c>
      <c r="S550">
        <f>ROUND((Source!CA353/100)*ROUND((Source!AF353*Source!AV353)*Source!I353, 2), 2)</f>
        <v>769.53</v>
      </c>
      <c r="T550">
        <f>Source!Y353</f>
        <v>769.53</v>
      </c>
      <c r="U550">
        <f>ROUND((175/100)*ROUND((Source!AE353*Source!AV353)*Source!I353, 2), 2)</f>
        <v>0</v>
      </c>
      <c r="V550">
        <f>ROUND((108/100)*ROUND(Source!CS353*Source!I353, 2), 2)</f>
        <v>0</v>
      </c>
    </row>
    <row r="551" spans="1:22" ht="14.25" x14ac:dyDescent="0.2">
      <c r="A551" s="18"/>
      <c r="B551" s="18"/>
      <c r="C551" s="18" t="s">
        <v>641</v>
      </c>
      <c r="D551" s="19"/>
      <c r="E551" s="9"/>
      <c r="F551" s="21">
        <f>Source!AO353</f>
        <v>1282.55</v>
      </c>
      <c r="G551" s="20" t="str">
        <f>Source!DG353</f>
        <v>)*2</v>
      </c>
      <c r="H551" s="9">
        <f>Source!AV353</f>
        <v>1</v>
      </c>
      <c r="I551" s="9">
        <f>IF(Source!BA353&lt;&gt; 0, Source!BA353, 1)</f>
        <v>1</v>
      </c>
      <c r="J551" s="21">
        <f>Source!S353</f>
        <v>7695.3</v>
      </c>
      <c r="K551" s="21"/>
    </row>
    <row r="552" spans="1:22" ht="14.25" x14ac:dyDescent="0.2">
      <c r="A552" s="18"/>
      <c r="B552" s="18"/>
      <c r="C552" s="18" t="s">
        <v>649</v>
      </c>
      <c r="D552" s="19"/>
      <c r="E552" s="9"/>
      <c r="F552" s="21">
        <f>Source!AL353</f>
        <v>15.26</v>
      </c>
      <c r="G552" s="20" t="str">
        <f>Source!DD353</f>
        <v>)*2</v>
      </c>
      <c r="H552" s="9">
        <f>Source!AW353</f>
        <v>1</v>
      </c>
      <c r="I552" s="9">
        <f>IF(Source!BC353&lt;&gt; 0, Source!BC353, 1)</f>
        <v>1</v>
      </c>
      <c r="J552" s="21">
        <f>Source!P353</f>
        <v>91.56</v>
      </c>
      <c r="K552" s="21"/>
    </row>
    <row r="553" spans="1:22" ht="14.25" x14ac:dyDescent="0.2">
      <c r="A553" s="18"/>
      <c r="B553" s="18"/>
      <c r="C553" s="18" t="s">
        <v>642</v>
      </c>
      <c r="D553" s="19" t="s">
        <v>643</v>
      </c>
      <c r="E553" s="9">
        <f>Source!AT353</f>
        <v>70</v>
      </c>
      <c r="F553" s="21"/>
      <c r="G553" s="20"/>
      <c r="H553" s="9"/>
      <c r="I553" s="9"/>
      <c r="J553" s="21">
        <f>SUM(R550:R552)</f>
        <v>5386.71</v>
      </c>
      <c r="K553" s="21"/>
    </row>
    <row r="554" spans="1:22" ht="14.25" x14ac:dyDescent="0.2">
      <c r="A554" s="18"/>
      <c r="B554" s="18"/>
      <c r="C554" s="18" t="s">
        <v>644</v>
      </c>
      <c r="D554" s="19" t="s">
        <v>643</v>
      </c>
      <c r="E554" s="9">
        <f>Source!AU353</f>
        <v>10</v>
      </c>
      <c r="F554" s="21"/>
      <c r="G554" s="20"/>
      <c r="H554" s="9"/>
      <c r="I554" s="9"/>
      <c r="J554" s="21">
        <f>SUM(T550:T553)</f>
        <v>769.53</v>
      </c>
      <c r="K554" s="21"/>
    </row>
    <row r="555" spans="1:22" ht="14.25" x14ac:dyDescent="0.2">
      <c r="A555" s="18"/>
      <c r="B555" s="18"/>
      <c r="C555" s="18" t="s">
        <v>645</v>
      </c>
      <c r="D555" s="19" t="s">
        <v>646</v>
      </c>
      <c r="E555" s="9">
        <f>Source!AQ353</f>
        <v>1.8</v>
      </c>
      <c r="F555" s="21"/>
      <c r="G555" s="20" t="str">
        <f>Source!DI353</f>
        <v>)*2</v>
      </c>
      <c r="H555" s="9">
        <f>Source!AV353</f>
        <v>1</v>
      </c>
      <c r="I555" s="9"/>
      <c r="J555" s="21"/>
      <c r="K555" s="21">
        <f>Source!U353</f>
        <v>10.8</v>
      </c>
    </row>
    <row r="556" spans="1:22" ht="15" x14ac:dyDescent="0.25">
      <c r="A556" s="24"/>
      <c r="B556" s="24"/>
      <c r="C556" s="24"/>
      <c r="D556" s="24"/>
      <c r="E556" s="24"/>
      <c r="F556" s="24"/>
      <c r="G556" s="24"/>
      <c r="H556" s="24"/>
      <c r="I556" s="38">
        <f>J551+J552+J553+J554</f>
        <v>13943.1</v>
      </c>
      <c r="J556" s="38"/>
      <c r="K556" s="25">
        <f>IF(Source!I353&lt;&gt;0, ROUND(I556/Source!I353, 2), 0)</f>
        <v>4647.7</v>
      </c>
      <c r="P556" s="23">
        <f>I556</f>
        <v>13943.1</v>
      </c>
    </row>
    <row r="557" spans="1:22" ht="57" x14ac:dyDescent="0.2">
      <c r="A557" s="18">
        <v>6</v>
      </c>
      <c r="B557" s="18" t="str">
        <f>Source!F354</f>
        <v>1.23-2303-6-1/1</v>
      </c>
      <c r="C557" s="18" t="str">
        <f>Source!G354</f>
        <v>Техническое обслуживание термопреобразователя сопротивления с унифицированным выходным сигналом</v>
      </c>
      <c r="D557" s="19" t="str">
        <f>Source!H354</f>
        <v>шт.</v>
      </c>
      <c r="E557" s="9">
        <f>Source!I354</f>
        <v>2</v>
      </c>
      <c r="F557" s="21"/>
      <c r="G557" s="20"/>
      <c r="H557" s="9"/>
      <c r="I557" s="9"/>
      <c r="J557" s="21"/>
      <c r="K557" s="21"/>
      <c r="Q557">
        <f>ROUND((Source!BZ354/100)*ROUND((Source!AF354*Source!AV354)*Source!I354, 2), 2)</f>
        <v>802.26</v>
      </c>
      <c r="R557">
        <f>Source!X354</f>
        <v>802.26</v>
      </c>
      <c r="S557">
        <f>ROUND((Source!CA354/100)*ROUND((Source!AF354*Source!AV354)*Source!I354, 2), 2)</f>
        <v>114.61</v>
      </c>
      <c r="T557">
        <f>Source!Y354</f>
        <v>114.61</v>
      </c>
      <c r="U557">
        <f>ROUND((175/100)*ROUND((Source!AE354*Source!AV354)*Source!I354, 2), 2)</f>
        <v>0</v>
      </c>
      <c r="V557">
        <f>ROUND((108/100)*ROUND(Source!CS354*Source!I354, 2), 2)</f>
        <v>0</v>
      </c>
    </row>
    <row r="558" spans="1:22" ht="14.25" x14ac:dyDescent="0.2">
      <c r="A558" s="18"/>
      <c r="B558" s="18"/>
      <c r="C558" s="18" t="s">
        <v>641</v>
      </c>
      <c r="D558" s="19"/>
      <c r="E558" s="9"/>
      <c r="F558" s="21">
        <f>Source!AO354</f>
        <v>286.52</v>
      </c>
      <c r="G558" s="20" t="str">
        <f>Source!DG354</f>
        <v>)*2</v>
      </c>
      <c r="H558" s="9">
        <f>Source!AV354</f>
        <v>1</v>
      </c>
      <c r="I558" s="9">
        <f>IF(Source!BA354&lt;&gt; 0, Source!BA354, 1)</f>
        <v>1</v>
      </c>
      <c r="J558" s="21">
        <f>Source!S354</f>
        <v>1146.08</v>
      </c>
      <c r="K558" s="21"/>
    </row>
    <row r="559" spans="1:22" ht="14.25" x14ac:dyDescent="0.2">
      <c r="A559" s="18"/>
      <c r="B559" s="18"/>
      <c r="C559" s="18" t="s">
        <v>649</v>
      </c>
      <c r="D559" s="19"/>
      <c r="E559" s="9"/>
      <c r="F559" s="21">
        <f>Source!AL354</f>
        <v>16.28</v>
      </c>
      <c r="G559" s="20" t="str">
        <f>Source!DD354</f>
        <v>)*2</v>
      </c>
      <c r="H559" s="9">
        <f>Source!AW354</f>
        <v>1</v>
      </c>
      <c r="I559" s="9">
        <f>IF(Source!BC354&lt;&gt; 0, Source!BC354, 1)</f>
        <v>1</v>
      </c>
      <c r="J559" s="21">
        <f>Source!P354</f>
        <v>65.12</v>
      </c>
      <c r="K559" s="21"/>
    </row>
    <row r="560" spans="1:22" ht="14.25" x14ac:dyDescent="0.2">
      <c r="A560" s="18"/>
      <c r="B560" s="18"/>
      <c r="C560" s="18" t="s">
        <v>642</v>
      </c>
      <c r="D560" s="19" t="s">
        <v>643</v>
      </c>
      <c r="E560" s="9">
        <f>Source!AT354</f>
        <v>70</v>
      </c>
      <c r="F560" s="21"/>
      <c r="G560" s="20"/>
      <c r="H560" s="9"/>
      <c r="I560" s="9"/>
      <c r="J560" s="21">
        <f>SUM(R557:R559)</f>
        <v>802.26</v>
      </c>
      <c r="K560" s="21"/>
    </row>
    <row r="561" spans="1:22" ht="14.25" x14ac:dyDescent="0.2">
      <c r="A561" s="18"/>
      <c r="B561" s="18"/>
      <c r="C561" s="18" t="s">
        <v>644</v>
      </c>
      <c r="D561" s="19" t="s">
        <v>643</v>
      </c>
      <c r="E561" s="9">
        <f>Source!AU354</f>
        <v>10</v>
      </c>
      <c r="F561" s="21"/>
      <c r="G561" s="20"/>
      <c r="H561" s="9"/>
      <c r="I561" s="9"/>
      <c r="J561" s="21">
        <f>SUM(T557:T560)</f>
        <v>114.61</v>
      </c>
      <c r="K561" s="21"/>
    </row>
    <row r="562" spans="1:22" ht="14.25" x14ac:dyDescent="0.2">
      <c r="A562" s="18"/>
      <c r="B562" s="18"/>
      <c r="C562" s="18" t="s">
        <v>645</v>
      </c>
      <c r="D562" s="19" t="s">
        <v>646</v>
      </c>
      <c r="E562" s="9">
        <f>Source!AQ354</f>
        <v>0.47</v>
      </c>
      <c r="F562" s="21"/>
      <c r="G562" s="20" t="str">
        <f>Source!DI354</f>
        <v>)*2</v>
      </c>
      <c r="H562" s="9">
        <f>Source!AV354</f>
        <v>1</v>
      </c>
      <c r="I562" s="9"/>
      <c r="J562" s="21"/>
      <c r="K562" s="21">
        <f>Source!U354</f>
        <v>1.88</v>
      </c>
    </row>
    <row r="563" spans="1:22" ht="15" x14ac:dyDescent="0.25">
      <c r="A563" s="24"/>
      <c r="B563" s="24"/>
      <c r="C563" s="24"/>
      <c r="D563" s="24"/>
      <c r="E563" s="24"/>
      <c r="F563" s="24"/>
      <c r="G563" s="24"/>
      <c r="H563" s="24"/>
      <c r="I563" s="38">
        <f>J558+J559+J560+J561</f>
        <v>2128.0699999999997</v>
      </c>
      <c r="J563" s="38"/>
      <c r="K563" s="25">
        <f>IF(Source!I354&lt;&gt;0, ROUND(I563/Source!I354, 2), 0)</f>
        <v>1064.04</v>
      </c>
      <c r="P563" s="23">
        <f>I563</f>
        <v>2128.0699999999997</v>
      </c>
    </row>
    <row r="564" spans="1:22" ht="42.75" x14ac:dyDescent="0.2">
      <c r="A564" s="18">
        <v>7</v>
      </c>
      <c r="B564" s="18" t="str">
        <f>Source!F355</f>
        <v>1.23-2103-27-1/1</v>
      </c>
      <c r="C564" s="18" t="str">
        <f>Source!G355</f>
        <v>Техническое обслуживание преобразователя давления МТ100 и аналогов</v>
      </c>
      <c r="D564" s="19" t="str">
        <f>Source!H355</f>
        <v>10 шт.</v>
      </c>
      <c r="E564" s="9">
        <f>Source!I355</f>
        <v>0.2</v>
      </c>
      <c r="F564" s="21"/>
      <c r="G564" s="20"/>
      <c r="H564" s="9"/>
      <c r="I564" s="9"/>
      <c r="J564" s="21"/>
      <c r="K564" s="21"/>
      <c r="Q564">
        <f>ROUND((Source!BZ355/100)*ROUND((Source!AF355*Source!AV355)*Source!I355, 2), 2)</f>
        <v>2133.67</v>
      </c>
      <c r="R564">
        <f>Source!X355</f>
        <v>2133.67</v>
      </c>
      <c r="S564">
        <f>ROUND((Source!CA355/100)*ROUND((Source!AF355*Source!AV355)*Source!I355, 2), 2)</f>
        <v>304.81</v>
      </c>
      <c r="T564">
        <f>Source!Y355</f>
        <v>304.81</v>
      </c>
      <c r="U564">
        <f>ROUND((175/100)*ROUND((Source!AE355*Source!AV355)*Source!I355, 2), 2)</f>
        <v>0</v>
      </c>
      <c r="V564">
        <f>ROUND((108/100)*ROUND(Source!CS355*Source!I355, 2), 2)</f>
        <v>0</v>
      </c>
    </row>
    <row r="565" spans="1:22" x14ac:dyDescent="0.2">
      <c r="C565" s="22" t="str">
        <f>"Объем: "&amp;Source!I355&amp;"=2/"&amp;"10"</f>
        <v>Объем: 0,2=2/10</v>
      </c>
    </row>
    <row r="566" spans="1:22" ht="14.25" x14ac:dyDescent="0.2">
      <c r="A566" s="18"/>
      <c r="B566" s="18"/>
      <c r="C566" s="18" t="s">
        <v>641</v>
      </c>
      <c r="D566" s="19"/>
      <c r="E566" s="9"/>
      <c r="F566" s="21">
        <f>Source!AO355</f>
        <v>7620.25</v>
      </c>
      <c r="G566" s="20" t="str">
        <f>Source!DG355</f>
        <v>)*2</v>
      </c>
      <c r="H566" s="9">
        <f>Source!AV355</f>
        <v>1</v>
      </c>
      <c r="I566" s="9">
        <f>IF(Source!BA355&lt;&gt; 0, Source!BA355, 1)</f>
        <v>1</v>
      </c>
      <c r="J566" s="21">
        <f>Source!S355</f>
        <v>3048.1</v>
      </c>
      <c r="K566" s="21"/>
    </row>
    <row r="567" spans="1:22" ht="14.25" x14ac:dyDescent="0.2">
      <c r="A567" s="18"/>
      <c r="B567" s="18"/>
      <c r="C567" s="18" t="s">
        <v>649</v>
      </c>
      <c r="D567" s="19"/>
      <c r="E567" s="9"/>
      <c r="F567" s="21">
        <f>Source!AL355</f>
        <v>15.53</v>
      </c>
      <c r="G567" s="20" t="str">
        <f>Source!DD355</f>
        <v>)*2</v>
      </c>
      <c r="H567" s="9">
        <f>Source!AW355</f>
        <v>1</v>
      </c>
      <c r="I567" s="9">
        <f>IF(Source!BC355&lt;&gt; 0, Source!BC355, 1)</f>
        <v>1</v>
      </c>
      <c r="J567" s="21">
        <f>Source!P355</f>
        <v>6.21</v>
      </c>
      <c r="K567" s="21"/>
    </row>
    <row r="568" spans="1:22" ht="14.25" x14ac:dyDescent="0.2">
      <c r="A568" s="18"/>
      <c r="B568" s="18"/>
      <c r="C568" s="18" t="s">
        <v>642</v>
      </c>
      <c r="D568" s="19" t="s">
        <v>643</v>
      </c>
      <c r="E568" s="9">
        <f>Source!AT355</f>
        <v>70</v>
      </c>
      <c r="F568" s="21"/>
      <c r="G568" s="20"/>
      <c r="H568" s="9"/>
      <c r="I568" s="9"/>
      <c r="J568" s="21">
        <f>SUM(R564:R567)</f>
        <v>2133.67</v>
      </c>
      <c r="K568" s="21"/>
    </row>
    <row r="569" spans="1:22" ht="14.25" x14ac:dyDescent="0.2">
      <c r="A569" s="18"/>
      <c r="B569" s="18"/>
      <c r="C569" s="18" t="s">
        <v>644</v>
      </c>
      <c r="D569" s="19" t="s">
        <v>643</v>
      </c>
      <c r="E569" s="9">
        <f>Source!AU355</f>
        <v>10</v>
      </c>
      <c r="F569" s="21"/>
      <c r="G569" s="20"/>
      <c r="H569" s="9"/>
      <c r="I569" s="9"/>
      <c r="J569" s="21">
        <f>SUM(T564:T568)</f>
        <v>304.81</v>
      </c>
      <c r="K569" s="21"/>
    </row>
    <row r="570" spans="1:22" ht="14.25" x14ac:dyDescent="0.2">
      <c r="A570" s="18"/>
      <c r="B570" s="18"/>
      <c r="C570" s="18" t="s">
        <v>645</v>
      </c>
      <c r="D570" s="19" t="s">
        <v>646</v>
      </c>
      <c r="E570" s="9">
        <f>Source!AQ355</f>
        <v>12.5</v>
      </c>
      <c r="F570" s="21"/>
      <c r="G570" s="20" t="str">
        <f>Source!DI355</f>
        <v>)*2</v>
      </c>
      <c r="H570" s="9">
        <f>Source!AV355</f>
        <v>1</v>
      </c>
      <c r="I570" s="9"/>
      <c r="J570" s="21"/>
      <c r="K570" s="21">
        <f>Source!U355</f>
        <v>5</v>
      </c>
    </row>
    <row r="571" spans="1:22" ht="15" x14ac:dyDescent="0.25">
      <c r="A571" s="24"/>
      <c r="B571" s="24"/>
      <c r="C571" s="24"/>
      <c r="D571" s="24"/>
      <c r="E571" s="24"/>
      <c r="F571" s="24"/>
      <c r="G571" s="24"/>
      <c r="H571" s="24"/>
      <c r="I571" s="38">
        <f>J566+J567+J568+J569</f>
        <v>5492.79</v>
      </c>
      <c r="J571" s="38"/>
      <c r="K571" s="25">
        <f>IF(Source!I355&lt;&gt;0, ROUND(I571/Source!I355, 2), 0)</f>
        <v>27463.95</v>
      </c>
      <c r="P571" s="23">
        <f>I571</f>
        <v>5492.79</v>
      </c>
    </row>
    <row r="572" spans="1:22" ht="28.5" x14ac:dyDescent="0.2">
      <c r="A572" s="18">
        <v>8</v>
      </c>
      <c r="B572" s="18" t="str">
        <f>Source!F356</f>
        <v>1.22-2103-2-1/1</v>
      </c>
      <c r="C572" s="18" t="str">
        <f>Source!G356</f>
        <v>Техническое обслуживание сетевой линии связи</v>
      </c>
      <c r="D572" s="19" t="str">
        <f>Source!H356</f>
        <v>100 м</v>
      </c>
      <c r="E572" s="9">
        <f>Source!I356</f>
        <v>5.5E-2</v>
      </c>
      <c r="F572" s="21"/>
      <c r="G572" s="20"/>
      <c r="H572" s="9"/>
      <c r="I572" s="9"/>
      <c r="J572" s="21"/>
      <c r="K572" s="21"/>
      <c r="Q572">
        <f>ROUND((Source!BZ356/100)*ROUND((Source!AF356*Source!AV356)*Source!I356, 2), 2)</f>
        <v>16.43</v>
      </c>
      <c r="R572">
        <f>Source!X356</f>
        <v>16.43</v>
      </c>
      <c r="S572">
        <f>ROUND((Source!CA356/100)*ROUND((Source!AF356*Source!AV356)*Source!I356, 2), 2)</f>
        <v>2.35</v>
      </c>
      <c r="T572">
        <f>Source!Y356</f>
        <v>2.35</v>
      </c>
      <c r="U572">
        <f>ROUND((175/100)*ROUND((Source!AE356*Source!AV356)*Source!I356, 2), 2)</f>
        <v>0</v>
      </c>
      <c r="V572">
        <f>ROUND((108/100)*ROUND(Source!CS356*Source!I356, 2), 2)</f>
        <v>0</v>
      </c>
    </row>
    <row r="573" spans="1:22" x14ac:dyDescent="0.2">
      <c r="C573" s="22" t="str">
        <f>"Объем: "&amp;Source!I356&amp;"=(35+"&amp;"10+"&amp;"10)*"&amp;"1*"&amp;"0,1/"&amp;"100"</f>
        <v>Объем: 0,055=(35+10+10)*1*0,1/100</v>
      </c>
    </row>
    <row r="574" spans="1:22" ht="14.25" x14ac:dyDescent="0.2">
      <c r="A574" s="18"/>
      <c r="B574" s="18"/>
      <c r="C574" s="18" t="s">
        <v>641</v>
      </c>
      <c r="D574" s="19"/>
      <c r="E574" s="9"/>
      <c r="F574" s="21">
        <f>Source!AO356</f>
        <v>426.73</v>
      </c>
      <c r="G574" s="20" t="str">
        <f>Source!DG356</f>
        <v/>
      </c>
      <c r="H574" s="9">
        <f>Source!AV356</f>
        <v>1</v>
      </c>
      <c r="I574" s="9">
        <f>IF(Source!BA356&lt;&gt; 0, Source!BA356, 1)</f>
        <v>1</v>
      </c>
      <c r="J574" s="21">
        <f>Source!S356</f>
        <v>23.47</v>
      </c>
      <c r="K574" s="21"/>
    </row>
    <row r="575" spans="1:22" ht="14.25" x14ac:dyDescent="0.2">
      <c r="A575" s="18"/>
      <c r="B575" s="18"/>
      <c r="C575" s="18" t="s">
        <v>642</v>
      </c>
      <c r="D575" s="19" t="s">
        <v>643</v>
      </c>
      <c r="E575" s="9">
        <f>Source!AT356</f>
        <v>70</v>
      </c>
      <c r="F575" s="21"/>
      <c r="G575" s="20"/>
      <c r="H575" s="9"/>
      <c r="I575" s="9"/>
      <c r="J575" s="21">
        <f>SUM(R572:R574)</f>
        <v>16.43</v>
      </c>
      <c r="K575" s="21"/>
    </row>
    <row r="576" spans="1:22" ht="14.25" x14ac:dyDescent="0.2">
      <c r="A576" s="18"/>
      <c r="B576" s="18"/>
      <c r="C576" s="18" t="s">
        <v>644</v>
      </c>
      <c r="D576" s="19" t="s">
        <v>643</v>
      </c>
      <c r="E576" s="9">
        <f>Source!AU356</f>
        <v>10</v>
      </c>
      <c r="F576" s="21"/>
      <c r="G576" s="20"/>
      <c r="H576" s="9"/>
      <c r="I576" s="9"/>
      <c r="J576" s="21">
        <f>SUM(T572:T575)</f>
        <v>2.35</v>
      </c>
      <c r="K576" s="21"/>
    </row>
    <row r="577" spans="1:22" ht="14.25" x14ac:dyDescent="0.2">
      <c r="A577" s="18"/>
      <c r="B577" s="18"/>
      <c r="C577" s="18" t="s">
        <v>645</v>
      </c>
      <c r="D577" s="19" t="s">
        <v>646</v>
      </c>
      <c r="E577" s="9">
        <f>Source!AQ356</f>
        <v>0.7</v>
      </c>
      <c r="F577" s="21"/>
      <c r="G577" s="20" t="str">
        <f>Source!DI356</f>
        <v/>
      </c>
      <c r="H577" s="9">
        <f>Source!AV356</f>
        <v>1</v>
      </c>
      <c r="I577" s="9"/>
      <c r="J577" s="21"/>
      <c r="K577" s="21">
        <f>Source!U356</f>
        <v>3.85E-2</v>
      </c>
    </row>
    <row r="578" spans="1:22" ht="15" x14ac:dyDescent="0.25">
      <c r="A578" s="24"/>
      <c r="B578" s="24"/>
      <c r="C578" s="24"/>
      <c r="D578" s="24"/>
      <c r="E578" s="24"/>
      <c r="F578" s="24"/>
      <c r="G578" s="24"/>
      <c r="H578" s="24"/>
      <c r="I578" s="38">
        <f>J574+J575+J576</f>
        <v>42.25</v>
      </c>
      <c r="J578" s="38"/>
      <c r="K578" s="25">
        <f>IF(Source!I356&lt;&gt;0, ROUND(I578/Source!I356, 2), 0)</f>
        <v>768.18</v>
      </c>
      <c r="P578" s="23">
        <f>I578</f>
        <v>42.25</v>
      </c>
    </row>
    <row r="579" spans="1:22" ht="99.75" x14ac:dyDescent="0.2">
      <c r="A579" s="18">
        <v>9</v>
      </c>
      <c r="B579" s="18" t="str">
        <f>Source!F357</f>
        <v>1.23-2303-5-1/1</v>
      </c>
      <c r="C579" s="18" t="str">
        <f>Source!G357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D579" s="19" t="str">
        <f>Source!H357</f>
        <v>шт.</v>
      </c>
      <c r="E579" s="9">
        <f>Source!I357</f>
        <v>1</v>
      </c>
      <c r="F579" s="21"/>
      <c r="G579" s="20"/>
      <c r="H579" s="9"/>
      <c r="I579" s="9"/>
      <c r="J579" s="21"/>
      <c r="K579" s="21"/>
      <c r="Q579">
        <f>ROUND((Source!BZ357/100)*ROUND((Source!AF357*Source!AV357)*Source!I357, 2), 2)</f>
        <v>981.04</v>
      </c>
      <c r="R579">
        <f>Source!X357</f>
        <v>981.04</v>
      </c>
      <c r="S579">
        <f>ROUND((Source!CA357/100)*ROUND((Source!AF357*Source!AV357)*Source!I357, 2), 2)</f>
        <v>140.15</v>
      </c>
      <c r="T579">
        <f>Source!Y357</f>
        <v>140.15</v>
      </c>
      <c r="U579">
        <f>ROUND((175/100)*ROUND((Source!AE357*Source!AV357)*Source!I357, 2), 2)</f>
        <v>0</v>
      </c>
      <c r="V579">
        <f>ROUND((108/100)*ROUND(Source!CS357*Source!I357, 2), 2)</f>
        <v>0</v>
      </c>
    </row>
    <row r="580" spans="1:22" ht="14.25" x14ac:dyDescent="0.2">
      <c r="A580" s="18"/>
      <c r="B580" s="18"/>
      <c r="C580" s="18" t="s">
        <v>641</v>
      </c>
      <c r="D580" s="19"/>
      <c r="E580" s="9"/>
      <c r="F580" s="21">
        <f>Source!AO357</f>
        <v>700.74</v>
      </c>
      <c r="G580" s="20" t="str">
        <f>Source!DG357</f>
        <v>)*2</v>
      </c>
      <c r="H580" s="9">
        <f>Source!AV357</f>
        <v>1</v>
      </c>
      <c r="I580" s="9">
        <f>IF(Source!BA357&lt;&gt; 0, Source!BA357, 1)</f>
        <v>1</v>
      </c>
      <c r="J580" s="21">
        <f>Source!S357</f>
        <v>1401.48</v>
      </c>
      <c r="K580" s="21"/>
    </row>
    <row r="581" spans="1:22" ht="14.25" x14ac:dyDescent="0.2">
      <c r="A581" s="18"/>
      <c r="B581" s="18"/>
      <c r="C581" s="18" t="s">
        <v>642</v>
      </c>
      <c r="D581" s="19" t="s">
        <v>643</v>
      </c>
      <c r="E581" s="9">
        <f>Source!AT357</f>
        <v>70</v>
      </c>
      <c r="F581" s="21"/>
      <c r="G581" s="20"/>
      <c r="H581" s="9"/>
      <c r="I581" s="9"/>
      <c r="J581" s="21">
        <f>SUM(R579:R580)</f>
        <v>981.04</v>
      </c>
      <c r="K581" s="21"/>
    </row>
    <row r="582" spans="1:22" ht="14.25" x14ac:dyDescent="0.2">
      <c r="A582" s="18"/>
      <c r="B582" s="18"/>
      <c r="C582" s="18" t="s">
        <v>644</v>
      </c>
      <c r="D582" s="19" t="s">
        <v>643</v>
      </c>
      <c r="E582" s="9">
        <f>Source!AU357</f>
        <v>10</v>
      </c>
      <c r="F582" s="21"/>
      <c r="G582" s="20"/>
      <c r="H582" s="9"/>
      <c r="I582" s="9"/>
      <c r="J582" s="21">
        <f>SUM(T579:T581)</f>
        <v>140.15</v>
      </c>
      <c r="K582" s="21"/>
    </row>
    <row r="583" spans="1:22" ht="14.25" x14ac:dyDescent="0.2">
      <c r="A583" s="18"/>
      <c r="B583" s="18"/>
      <c r="C583" s="18" t="s">
        <v>645</v>
      </c>
      <c r="D583" s="19" t="s">
        <v>646</v>
      </c>
      <c r="E583" s="9">
        <f>Source!AQ357</f>
        <v>1.06</v>
      </c>
      <c r="F583" s="21"/>
      <c r="G583" s="20" t="str">
        <f>Source!DI357</f>
        <v>)*2</v>
      </c>
      <c r="H583" s="9">
        <f>Source!AV357</f>
        <v>1</v>
      </c>
      <c r="I583" s="9"/>
      <c r="J583" s="21"/>
      <c r="K583" s="21">
        <f>Source!U357</f>
        <v>2.12</v>
      </c>
    </row>
    <row r="584" spans="1:22" ht="15" x14ac:dyDescent="0.25">
      <c r="A584" s="24"/>
      <c r="B584" s="24"/>
      <c r="C584" s="24"/>
      <c r="D584" s="24"/>
      <c r="E584" s="24"/>
      <c r="F584" s="24"/>
      <c r="G584" s="24"/>
      <c r="H584" s="24"/>
      <c r="I584" s="38">
        <f>J580+J581+J582</f>
        <v>2522.67</v>
      </c>
      <c r="J584" s="38"/>
      <c r="K584" s="25">
        <f>IF(Source!I357&lt;&gt;0, ROUND(I584/Source!I357, 2), 0)</f>
        <v>2522.67</v>
      </c>
      <c r="P584" s="23">
        <f>I584</f>
        <v>2522.67</v>
      </c>
    </row>
    <row r="586" spans="1:22" ht="15" x14ac:dyDescent="0.25">
      <c r="A586" s="36" t="str">
        <f>CONCATENATE("Итого по подразделу: ",IF(Source!G360&lt;&gt;"Новый подраздел", Source!G360, ""))</f>
        <v>Итого по подразделу: Техническое  обслуживание годовое</v>
      </c>
      <c r="B586" s="36"/>
      <c r="C586" s="36"/>
      <c r="D586" s="36"/>
      <c r="E586" s="36"/>
      <c r="F586" s="36"/>
      <c r="G586" s="36"/>
      <c r="H586" s="36"/>
      <c r="I586" s="34">
        <f>SUM(P517:P585)</f>
        <v>44455.35</v>
      </c>
      <c r="J586" s="35"/>
      <c r="K586" s="28"/>
    </row>
    <row r="589" spans="1:22" ht="16.5" x14ac:dyDescent="0.25">
      <c r="A589" s="37" t="str">
        <f>CONCATENATE("Подраздел: ",IF(Source!G390&lt;&gt;"Новый подраздел", Source!G390, ""))</f>
        <v>Подраздел: Автоматизация ИТП</v>
      </c>
      <c r="B589" s="37"/>
      <c r="C589" s="37"/>
      <c r="D589" s="37"/>
      <c r="E589" s="37"/>
      <c r="F589" s="37"/>
      <c r="G589" s="37"/>
      <c r="H589" s="37"/>
      <c r="I589" s="37"/>
      <c r="J589" s="37"/>
      <c r="K589" s="37"/>
    </row>
    <row r="590" spans="1:22" ht="28.5" x14ac:dyDescent="0.2">
      <c r="A590" s="18">
        <v>10</v>
      </c>
      <c r="B590" s="18" t="str">
        <f>Source!F394</f>
        <v>1.23-2303-19-1/1</v>
      </c>
      <c r="C590" s="18" t="str">
        <f>Source!G394</f>
        <v>Техническое обслуживание шкафа блока автоматики  ЩАИТП</v>
      </c>
      <c r="D590" s="19" t="str">
        <f>Source!H394</f>
        <v>шт.</v>
      </c>
      <c r="E590" s="9">
        <f>Source!I394</f>
        <v>1</v>
      </c>
      <c r="F590" s="21"/>
      <c r="G590" s="20"/>
      <c r="H590" s="9"/>
      <c r="I590" s="9"/>
      <c r="J590" s="21"/>
      <c r="K590" s="21"/>
      <c r="Q590">
        <f>ROUND((Source!BZ394/100)*ROUND((Source!AF394*Source!AV394)*Source!I394, 2), 2)</f>
        <v>365.74</v>
      </c>
      <c r="R590">
        <f>Source!X394</f>
        <v>365.74</v>
      </c>
      <c r="S590">
        <f>ROUND((Source!CA394/100)*ROUND((Source!AF394*Source!AV394)*Source!I394, 2), 2)</f>
        <v>52.25</v>
      </c>
      <c r="T590">
        <f>Source!Y394</f>
        <v>52.25</v>
      </c>
      <c r="U590">
        <f>ROUND((175/100)*ROUND((Source!AE394*Source!AV394)*Source!I394, 2), 2)</f>
        <v>0</v>
      </c>
      <c r="V590">
        <f>ROUND((108/100)*ROUND(Source!CS394*Source!I394, 2), 2)</f>
        <v>0</v>
      </c>
    </row>
    <row r="591" spans="1:22" ht="14.25" x14ac:dyDescent="0.2">
      <c r="A591" s="18"/>
      <c r="B591" s="18"/>
      <c r="C591" s="18" t="s">
        <v>641</v>
      </c>
      <c r="D591" s="19"/>
      <c r="E591" s="9"/>
      <c r="F591" s="21">
        <f>Source!AO394</f>
        <v>130.62</v>
      </c>
      <c r="G591" s="20" t="str">
        <f>Source!DG394</f>
        <v>)*4</v>
      </c>
      <c r="H591" s="9">
        <f>Source!AV394</f>
        <v>1</v>
      </c>
      <c r="I591" s="9">
        <f>IF(Source!BA394&lt;&gt; 0, Source!BA394, 1)</f>
        <v>1</v>
      </c>
      <c r="J591" s="21">
        <f>Source!S394</f>
        <v>522.48</v>
      </c>
      <c r="K591" s="21"/>
    </row>
    <row r="592" spans="1:22" ht="14.25" x14ac:dyDescent="0.2">
      <c r="A592" s="18"/>
      <c r="B592" s="18"/>
      <c r="C592" s="18" t="s">
        <v>649</v>
      </c>
      <c r="D592" s="19"/>
      <c r="E592" s="9"/>
      <c r="F592" s="21">
        <f>Source!AL394</f>
        <v>0.01</v>
      </c>
      <c r="G592" s="20" t="str">
        <f>Source!DD394</f>
        <v>)*4</v>
      </c>
      <c r="H592" s="9">
        <f>Source!AW394</f>
        <v>1</v>
      </c>
      <c r="I592" s="9">
        <f>IF(Source!BC394&lt;&gt; 0, Source!BC394, 1)</f>
        <v>1</v>
      </c>
      <c r="J592" s="21">
        <f>Source!P394</f>
        <v>0.04</v>
      </c>
      <c r="K592" s="21"/>
    </row>
    <row r="593" spans="1:22" ht="14.25" x14ac:dyDescent="0.2">
      <c r="A593" s="18"/>
      <c r="B593" s="18"/>
      <c r="C593" s="18" t="s">
        <v>642</v>
      </c>
      <c r="D593" s="19" t="s">
        <v>643</v>
      </c>
      <c r="E593" s="9">
        <f>Source!AT394</f>
        <v>70</v>
      </c>
      <c r="F593" s="21"/>
      <c r="G593" s="20"/>
      <c r="H593" s="9"/>
      <c r="I593" s="9"/>
      <c r="J593" s="21">
        <f>SUM(R590:R592)</f>
        <v>365.74</v>
      </c>
      <c r="K593" s="21"/>
    </row>
    <row r="594" spans="1:22" ht="14.25" x14ac:dyDescent="0.2">
      <c r="A594" s="18"/>
      <c r="B594" s="18"/>
      <c r="C594" s="18" t="s">
        <v>644</v>
      </c>
      <c r="D594" s="19" t="s">
        <v>643</v>
      </c>
      <c r="E594" s="9">
        <f>Source!AU394</f>
        <v>10</v>
      </c>
      <c r="F594" s="21"/>
      <c r="G594" s="20"/>
      <c r="H594" s="9"/>
      <c r="I594" s="9"/>
      <c r="J594" s="21">
        <f>SUM(T590:T593)</f>
        <v>52.25</v>
      </c>
      <c r="K594" s="21"/>
    </row>
    <row r="595" spans="1:22" ht="14.25" x14ac:dyDescent="0.2">
      <c r="A595" s="18"/>
      <c r="B595" s="18"/>
      <c r="C595" s="18" t="s">
        <v>645</v>
      </c>
      <c r="D595" s="19" t="s">
        <v>646</v>
      </c>
      <c r="E595" s="9">
        <f>Source!AQ394</f>
        <v>0.3</v>
      </c>
      <c r="F595" s="21"/>
      <c r="G595" s="20" t="str">
        <f>Source!DI394</f>
        <v>)*4</v>
      </c>
      <c r="H595" s="9">
        <f>Source!AV394</f>
        <v>1</v>
      </c>
      <c r="I595" s="9"/>
      <c r="J595" s="21"/>
      <c r="K595" s="21">
        <f>Source!U394</f>
        <v>1.2</v>
      </c>
    </row>
    <row r="596" spans="1:22" ht="15" x14ac:dyDescent="0.25">
      <c r="A596" s="24"/>
      <c r="B596" s="24"/>
      <c r="C596" s="24"/>
      <c r="D596" s="24"/>
      <c r="E596" s="24"/>
      <c r="F596" s="24"/>
      <c r="G596" s="24"/>
      <c r="H596" s="24"/>
      <c r="I596" s="38">
        <f>J591+J592+J593+J594</f>
        <v>940.51</v>
      </c>
      <c r="J596" s="38"/>
      <c r="K596" s="25">
        <f>IF(Source!I394&lt;&gt;0, ROUND(I596/Source!I394, 2), 0)</f>
        <v>940.51</v>
      </c>
      <c r="P596" s="23">
        <f>I596</f>
        <v>940.51</v>
      </c>
    </row>
    <row r="597" spans="1:22" ht="42.75" x14ac:dyDescent="0.2">
      <c r="A597" s="18">
        <v>11</v>
      </c>
      <c r="B597" s="18" t="str">
        <f>Source!F395</f>
        <v>1.21-2301-10-1/1</v>
      </c>
      <c r="C597" s="18" t="str">
        <f>Source!G395</f>
        <v>Технический осмотр переключателей с боковым приводом трехполюсных, номинальный ток до 400 А</v>
      </c>
      <c r="D597" s="19" t="str">
        <f>Source!H395</f>
        <v>шт.</v>
      </c>
      <c r="E597" s="9">
        <f>Source!I395</f>
        <v>5</v>
      </c>
      <c r="F597" s="21"/>
      <c r="G597" s="20"/>
      <c r="H597" s="9"/>
      <c r="I597" s="9"/>
      <c r="J597" s="21"/>
      <c r="K597" s="21"/>
      <c r="Q597">
        <f>ROUND((Source!BZ395/100)*ROUND((Source!AF395*Source!AV395)*Source!I395, 2), 2)</f>
        <v>278.45999999999998</v>
      </c>
      <c r="R597">
        <f>Source!X395</f>
        <v>278.45999999999998</v>
      </c>
      <c r="S597">
        <f>ROUND((Source!CA395/100)*ROUND((Source!AF395*Source!AV395)*Source!I395, 2), 2)</f>
        <v>39.78</v>
      </c>
      <c r="T597">
        <f>Source!Y395</f>
        <v>39.78</v>
      </c>
      <c r="U597">
        <f>ROUND((175/100)*ROUND((Source!AE395*Source!AV395)*Source!I395, 2), 2)</f>
        <v>0</v>
      </c>
      <c r="V597">
        <f>ROUND((108/100)*ROUND(Source!CS395*Source!I395, 2), 2)</f>
        <v>0</v>
      </c>
    </row>
    <row r="598" spans="1:22" ht="14.25" x14ac:dyDescent="0.2">
      <c r="A598" s="18"/>
      <c r="B598" s="18"/>
      <c r="C598" s="18" t="s">
        <v>641</v>
      </c>
      <c r="D598" s="19"/>
      <c r="E598" s="9"/>
      <c r="F598" s="21">
        <f>Source!AO395</f>
        <v>26.52</v>
      </c>
      <c r="G598" s="20" t="str">
        <f>Source!DG395</f>
        <v>)*3</v>
      </c>
      <c r="H598" s="9">
        <f>Source!AV395</f>
        <v>1</v>
      </c>
      <c r="I598" s="9">
        <f>IF(Source!BA395&lt;&gt; 0, Source!BA395, 1)</f>
        <v>1</v>
      </c>
      <c r="J598" s="21">
        <f>Source!S395</f>
        <v>397.8</v>
      </c>
      <c r="K598" s="21"/>
    </row>
    <row r="599" spans="1:22" ht="14.25" x14ac:dyDescent="0.2">
      <c r="A599" s="18"/>
      <c r="B599" s="18"/>
      <c r="C599" s="18" t="s">
        <v>649</v>
      </c>
      <c r="D599" s="19"/>
      <c r="E599" s="9"/>
      <c r="F599" s="21">
        <f>Source!AL395</f>
        <v>1.45</v>
      </c>
      <c r="G599" s="20" t="str">
        <f>Source!DD395</f>
        <v>)*3</v>
      </c>
      <c r="H599" s="9">
        <f>Source!AW395</f>
        <v>1</v>
      </c>
      <c r="I599" s="9">
        <f>IF(Source!BC395&lt;&gt; 0, Source!BC395, 1)</f>
        <v>1</v>
      </c>
      <c r="J599" s="21">
        <f>Source!P395</f>
        <v>21.75</v>
      </c>
      <c r="K599" s="21"/>
    </row>
    <row r="600" spans="1:22" ht="14.25" x14ac:dyDescent="0.2">
      <c r="A600" s="18"/>
      <c r="B600" s="18"/>
      <c r="C600" s="18" t="s">
        <v>642</v>
      </c>
      <c r="D600" s="19" t="s">
        <v>643</v>
      </c>
      <c r="E600" s="9">
        <f>Source!AT395</f>
        <v>70</v>
      </c>
      <c r="F600" s="21"/>
      <c r="G600" s="20"/>
      <c r="H600" s="9"/>
      <c r="I600" s="9"/>
      <c r="J600" s="21">
        <f>SUM(R597:R599)</f>
        <v>278.45999999999998</v>
      </c>
      <c r="K600" s="21"/>
    </row>
    <row r="601" spans="1:22" ht="14.25" x14ac:dyDescent="0.2">
      <c r="A601" s="18"/>
      <c r="B601" s="18"/>
      <c r="C601" s="18" t="s">
        <v>644</v>
      </c>
      <c r="D601" s="19" t="s">
        <v>643</v>
      </c>
      <c r="E601" s="9">
        <f>Source!AU395</f>
        <v>10</v>
      </c>
      <c r="F601" s="21"/>
      <c r="G601" s="20"/>
      <c r="H601" s="9"/>
      <c r="I601" s="9"/>
      <c r="J601" s="21">
        <f>SUM(T597:T600)</f>
        <v>39.78</v>
      </c>
      <c r="K601" s="21"/>
    </row>
    <row r="602" spans="1:22" ht="14.25" x14ac:dyDescent="0.2">
      <c r="A602" s="18"/>
      <c r="B602" s="18"/>
      <c r="C602" s="18" t="s">
        <v>645</v>
      </c>
      <c r="D602" s="19" t="s">
        <v>646</v>
      </c>
      <c r="E602" s="9">
        <f>Source!AQ395</f>
        <v>0.05</v>
      </c>
      <c r="F602" s="21"/>
      <c r="G602" s="20" t="str">
        <f>Source!DI395</f>
        <v>)*3</v>
      </c>
      <c r="H602" s="9">
        <f>Source!AV395</f>
        <v>1</v>
      </c>
      <c r="I602" s="9"/>
      <c r="J602" s="21"/>
      <c r="K602" s="21">
        <f>Source!U395</f>
        <v>0.75000000000000011</v>
      </c>
    </row>
    <row r="603" spans="1:22" ht="15" x14ac:dyDescent="0.25">
      <c r="A603" s="24"/>
      <c r="B603" s="24"/>
      <c r="C603" s="24"/>
      <c r="D603" s="24"/>
      <c r="E603" s="24"/>
      <c r="F603" s="24"/>
      <c r="G603" s="24"/>
      <c r="H603" s="24"/>
      <c r="I603" s="38">
        <f>J598+J599+J600+J601</f>
        <v>737.79</v>
      </c>
      <c r="J603" s="38"/>
      <c r="K603" s="25">
        <f>IF(Source!I395&lt;&gt;0, ROUND(I603/Source!I395, 2), 0)</f>
        <v>147.56</v>
      </c>
      <c r="P603" s="23">
        <f>I603</f>
        <v>737.79</v>
      </c>
    </row>
    <row r="604" spans="1:22" ht="42.75" x14ac:dyDescent="0.2">
      <c r="A604" s="18">
        <v>12</v>
      </c>
      <c r="B604" s="18" t="str">
        <f>Source!F396</f>
        <v>1.21-2303-10-1/1</v>
      </c>
      <c r="C604" s="18" t="str">
        <f>Source!G396</f>
        <v>Техническое обслуживание переключателя с боковым приводом трехполюсного, номинальный ток 400 А</v>
      </c>
      <c r="D604" s="19" t="str">
        <f>Source!H396</f>
        <v>шт.</v>
      </c>
      <c r="E604" s="9">
        <f>Source!I396</f>
        <v>5</v>
      </c>
      <c r="F604" s="21"/>
      <c r="G604" s="20"/>
      <c r="H604" s="9"/>
      <c r="I604" s="9"/>
      <c r="J604" s="21"/>
      <c r="K604" s="21"/>
      <c r="Q604">
        <f>ROUND((Source!BZ396/100)*ROUND((Source!AF396*Source!AV396)*Source!I396, 2), 2)</f>
        <v>2784.88</v>
      </c>
      <c r="R604">
        <f>Source!X396</f>
        <v>2784.88</v>
      </c>
      <c r="S604">
        <f>ROUND((Source!CA396/100)*ROUND((Source!AF396*Source!AV396)*Source!I396, 2), 2)</f>
        <v>397.84</v>
      </c>
      <c r="T604">
        <f>Source!Y396</f>
        <v>397.84</v>
      </c>
      <c r="U604">
        <f>ROUND((175/100)*ROUND((Source!AE396*Source!AV396)*Source!I396, 2), 2)</f>
        <v>0</v>
      </c>
      <c r="V604">
        <f>ROUND((108/100)*ROUND(Source!CS396*Source!I396, 2), 2)</f>
        <v>0</v>
      </c>
    </row>
    <row r="605" spans="1:22" ht="14.25" x14ac:dyDescent="0.2">
      <c r="A605" s="18"/>
      <c r="B605" s="18"/>
      <c r="C605" s="18" t="s">
        <v>641</v>
      </c>
      <c r="D605" s="19"/>
      <c r="E605" s="9"/>
      <c r="F605" s="21">
        <f>Source!AO396</f>
        <v>795.68</v>
      </c>
      <c r="G605" s="20" t="str">
        <f>Source!DG396</f>
        <v/>
      </c>
      <c r="H605" s="9">
        <f>Source!AV396</f>
        <v>1</v>
      </c>
      <c r="I605" s="9">
        <f>IF(Source!BA396&lt;&gt; 0, Source!BA396, 1)</f>
        <v>1</v>
      </c>
      <c r="J605" s="21">
        <f>Source!S396</f>
        <v>3978.4</v>
      </c>
      <c r="K605" s="21"/>
    </row>
    <row r="606" spans="1:22" ht="14.25" x14ac:dyDescent="0.2">
      <c r="A606" s="18"/>
      <c r="B606" s="18"/>
      <c r="C606" s="18" t="s">
        <v>649</v>
      </c>
      <c r="D606" s="19"/>
      <c r="E606" s="9"/>
      <c r="F606" s="21">
        <f>Source!AL396</f>
        <v>16.260000000000002</v>
      </c>
      <c r="G606" s="20" t="str">
        <f>Source!DD396</f>
        <v/>
      </c>
      <c r="H606" s="9">
        <f>Source!AW396</f>
        <v>1</v>
      </c>
      <c r="I606" s="9">
        <f>IF(Source!BC396&lt;&gt; 0, Source!BC396, 1)</f>
        <v>1</v>
      </c>
      <c r="J606" s="21">
        <f>Source!P396</f>
        <v>81.3</v>
      </c>
      <c r="K606" s="21"/>
    </row>
    <row r="607" spans="1:22" ht="14.25" x14ac:dyDescent="0.2">
      <c r="A607" s="18"/>
      <c r="B607" s="18"/>
      <c r="C607" s="18" t="s">
        <v>642</v>
      </c>
      <c r="D607" s="19" t="s">
        <v>643</v>
      </c>
      <c r="E607" s="9">
        <f>Source!AT396</f>
        <v>70</v>
      </c>
      <c r="F607" s="21"/>
      <c r="G607" s="20"/>
      <c r="H607" s="9"/>
      <c r="I607" s="9"/>
      <c r="J607" s="21">
        <f>SUM(R604:R606)</f>
        <v>2784.88</v>
      </c>
      <c r="K607" s="21"/>
    </row>
    <row r="608" spans="1:22" ht="14.25" x14ac:dyDescent="0.2">
      <c r="A608" s="18"/>
      <c r="B608" s="18"/>
      <c r="C608" s="18" t="s">
        <v>644</v>
      </c>
      <c r="D608" s="19" t="s">
        <v>643</v>
      </c>
      <c r="E608" s="9">
        <f>Source!AU396</f>
        <v>10</v>
      </c>
      <c r="F608" s="21"/>
      <c r="G608" s="20"/>
      <c r="H608" s="9"/>
      <c r="I608" s="9"/>
      <c r="J608" s="21">
        <f>SUM(T604:T607)</f>
        <v>397.84</v>
      </c>
      <c r="K608" s="21"/>
    </row>
    <row r="609" spans="1:22" ht="14.25" x14ac:dyDescent="0.2">
      <c r="A609" s="18"/>
      <c r="B609" s="18"/>
      <c r="C609" s="18" t="s">
        <v>645</v>
      </c>
      <c r="D609" s="19" t="s">
        <v>646</v>
      </c>
      <c r="E609" s="9">
        <f>Source!AQ396</f>
        <v>1.5</v>
      </c>
      <c r="F609" s="21"/>
      <c r="G609" s="20" t="str">
        <f>Source!DI396</f>
        <v/>
      </c>
      <c r="H609" s="9">
        <f>Source!AV396</f>
        <v>1</v>
      </c>
      <c r="I609" s="9"/>
      <c r="J609" s="21"/>
      <c r="K609" s="21">
        <f>Source!U396</f>
        <v>7.5</v>
      </c>
    </row>
    <row r="610" spans="1:22" ht="15" x14ac:dyDescent="0.25">
      <c r="A610" s="24"/>
      <c r="B610" s="24"/>
      <c r="C610" s="24"/>
      <c r="D610" s="24"/>
      <c r="E610" s="24"/>
      <c r="F610" s="24"/>
      <c r="G610" s="24"/>
      <c r="H610" s="24"/>
      <c r="I610" s="38">
        <f>J605+J606+J607+J608</f>
        <v>7242.42</v>
      </c>
      <c r="J610" s="38"/>
      <c r="K610" s="25">
        <f>IF(Source!I396&lt;&gt;0, ROUND(I610/Source!I396, 2), 0)</f>
        <v>1448.48</v>
      </c>
      <c r="P610" s="23">
        <f>I610</f>
        <v>7242.42</v>
      </c>
    </row>
    <row r="611" spans="1:22" ht="57" x14ac:dyDescent="0.2">
      <c r="A611" s="18">
        <v>13</v>
      </c>
      <c r="B611" s="18" t="str">
        <f>Source!F397</f>
        <v>1.21-2301-19-1/1</v>
      </c>
      <c r="C611" s="18" t="str">
        <f>Source!G397</f>
        <v>Технический осмотр выключателей автоматических однополюсных установочных на номинальный ток до 63 А</v>
      </c>
      <c r="D611" s="19" t="str">
        <f>Source!H397</f>
        <v>шт.</v>
      </c>
      <c r="E611" s="9">
        <f>Source!I397</f>
        <v>6</v>
      </c>
      <c r="F611" s="21"/>
      <c r="G611" s="20"/>
      <c r="H611" s="9"/>
      <c r="I611" s="9"/>
      <c r="J611" s="21"/>
      <c r="K611" s="21"/>
      <c r="Q611">
        <f>ROUND((Source!BZ397/100)*ROUND((Source!AF397*Source!AV397)*Source!I397, 2), 2)</f>
        <v>267.37</v>
      </c>
      <c r="R611">
        <f>Source!X397</f>
        <v>267.37</v>
      </c>
      <c r="S611">
        <f>ROUND((Source!CA397/100)*ROUND((Source!AF397*Source!AV397)*Source!I397, 2), 2)</f>
        <v>38.200000000000003</v>
      </c>
      <c r="T611">
        <f>Source!Y397</f>
        <v>38.200000000000003</v>
      </c>
      <c r="U611">
        <f>ROUND((175/100)*ROUND((Source!AE397*Source!AV397)*Source!I397, 2), 2)</f>
        <v>0</v>
      </c>
      <c r="V611">
        <f>ROUND((108/100)*ROUND(Source!CS397*Source!I397, 2), 2)</f>
        <v>0</v>
      </c>
    </row>
    <row r="612" spans="1:22" ht="14.25" x14ac:dyDescent="0.2">
      <c r="A612" s="18"/>
      <c r="B612" s="18"/>
      <c r="C612" s="18" t="s">
        <v>641</v>
      </c>
      <c r="D612" s="19"/>
      <c r="E612" s="9"/>
      <c r="F612" s="21">
        <f>Source!AO397</f>
        <v>21.22</v>
      </c>
      <c r="G612" s="20" t="str">
        <f>Source!DG397</f>
        <v>)*3</v>
      </c>
      <c r="H612" s="9">
        <f>Source!AV397</f>
        <v>1</v>
      </c>
      <c r="I612" s="9">
        <f>IF(Source!BA397&lt;&gt; 0, Source!BA397, 1)</f>
        <v>1</v>
      </c>
      <c r="J612" s="21">
        <f>Source!S397</f>
        <v>381.96</v>
      </c>
      <c r="K612" s="21"/>
    </row>
    <row r="613" spans="1:22" ht="14.25" x14ac:dyDescent="0.2">
      <c r="A613" s="18"/>
      <c r="B613" s="18"/>
      <c r="C613" s="18" t="s">
        <v>649</v>
      </c>
      <c r="D613" s="19"/>
      <c r="E613" s="9"/>
      <c r="F613" s="21">
        <f>Source!AL397</f>
        <v>0.01</v>
      </c>
      <c r="G613" s="20" t="str">
        <f>Source!DD397</f>
        <v>)*3</v>
      </c>
      <c r="H613" s="9">
        <f>Source!AW397</f>
        <v>1</v>
      </c>
      <c r="I613" s="9">
        <f>IF(Source!BC397&lt;&gt; 0, Source!BC397, 1)</f>
        <v>1</v>
      </c>
      <c r="J613" s="21">
        <f>Source!P397</f>
        <v>0.18</v>
      </c>
      <c r="K613" s="21"/>
    </row>
    <row r="614" spans="1:22" ht="14.25" x14ac:dyDescent="0.2">
      <c r="A614" s="18"/>
      <c r="B614" s="18"/>
      <c r="C614" s="18" t="s">
        <v>642</v>
      </c>
      <c r="D614" s="19" t="s">
        <v>643</v>
      </c>
      <c r="E614" s="9">
        <f>Source!AT397</f>
        <v>70</v>
      </c>
      <c r="F614" s="21"/>
      <c r="G614" s="20"/>
      <c r="H614" s="9"/>
      <c r="I614" s="9"/>
      <c r="J614" s="21">
        <f>SUM(R611:R613)</f>
        <v>267.37</v>
      </c>
      <c r="K614" s="21"/>
    </row>
    <row r="615" spans="1:22" ht="14.25" x14ac:dyDescent="0.2">
      <c r="A615" s="18"/>
      <c r="B615" s="18"/>
      <c r="C615" s="18" t="s">
        <v>644</v>
      </c>
      <c r="D615" s="19" t="s">
        <v>643</v>
      </c>
      <c r="E615" s="9">
        <f>Source!AU397</f>
        <v>10</v>
      </c>
      <c r="F615" s="21"/>
      <c r="G615" s="20"/>
      <c r="H615" s="9"/>
      <c r="I615" s="9"/>
      <c r="J615" s="21">
        <f>SUM(T611:T614)</f>
        <v>38.200000000000003</v>
      </c>
      <c r="K615" s="21"/>
    </row>
    <row r="616" spans="1:22" ht="14.25" x14ac:dyDescent="0.2">
      <c r="A616" s="18"/>
      <c r="B616" s="18"/>
      <c r="C616" s="18" t="s">
        <v>645</v>
      </c>
      <c r="D616" s="19" t="s">
        <v>646</v>
      </c>
      <c r="E616" s="9">
        <f>Source!AQ397</f>
        <v>0.04</v>
      </c>
      <c r="F616" s="21"/>
      <c r="G616" s="20" t="str">
        <f>Source!DI397</f>
        <v>)*3</v>
      </c>
      <c r="H616" s="9">
        <f>Source!AV397</f>
        <v>1</v>
      </c>
      <c r="I616" s="9"/>
      <c r="J616" s="21"/>
      <c r="K616" s="21">
        <f>Source!U397</f>
        <v>0.72</v>
      </c>
    </row>
    <row r="617" spans="1:22" ht="15" x14ac:dyDescent="0.25">
      <c r="A617" s="24"/>
      <c r="B617" s="24"/>
      <c r="C617" s="24"/>
      <c r="D617" s="24"/>
      <c r="E617" s="24"/>
      <c r="F617" s="24"/>
      <c r="G617" s="24"/>
      <c r="H617" s="24"/>
      <c r="I617" s="38">
        <f>J612+J613+J614+J615</f>
        <v>687.71</v>
      </c>
      <c r="J617" s="38"/>
      <c r="K617" s="25">
        <f>IF(Source!I397&lt;&gt;0, ROUND(I617/Source!I397, 2), 0)</f>
        <v>114.62</v>
      </c>
      <c r="P617" s="23">
        <f>I617</f>
        <v>687.71</v>
      </c>
    </row>
    <row r="618" spans="1:22" ht="57" x14ac:dyDescent="0.2">
      <c r="A618" s="18">
        <v>14</v>
      </c>
      <c r="B618" s="18" t="str">
        <f>Source!F398</f>
        <v>1.21-2303-19-1/1</v>
      </c>
      <c r="C618" s="18" t="str">
        <f>Source!G398</f>
        <v>Техническое обслуживание выключателей автоматических однополюсных установочных на номинальный ток до 63 А</v>
      </c>
      <c r="D618" s="19" t="str">
        <f>Source!H398</f>
        <v>шт.</v>
      </c>
      <c r="E618" s="9">
        <f>Source!I398</f>
        <v>6</v>
      </c>
      <c r="F618" s="21"/>
      <c r="G618" s="20"/>
      <c r="H618" s="9"/>
      <c r="I618" s="9"/>
      <c r="J618" s="21"/>
      <c r="K618" s="21"/>
      <c r="Q618">
        <f>ROUND((Source!BZ398/100)*ROUND((Source!AF398*Source!AV398)*Source!I398, 2), 2)</f>
        <v>2673.47</v>
      </c>
      <c r="R618">
        <f>Source!X398</f>
        <v>2673.47</v>
      </c>
      <c r="S618">
        <f>ROUND((Source!CA398/100)*ROUND((Source!AF398*Source!AV398)*Source!I398, 2), 2)</f>
        <v>381.92</v>
      </c>
      <c r="T618">
        <f>Source!Y398</f>
        <v>381.92</v>
      </c>
      <c r="U618">
        <f>ROUND((175/100)*ROUND((Source!AE398*Source!AV398)*Source!I398, 2), 2)</f>
        <v>0</v>
      </c>
      <c r="V618">
        <f>ROUND((108/100)*ROUND(Source!CS398*Source!I398, 2), 2)</f>
        <v>0</v>
      </c>
    </row>
    <row r="619" spans="1:22" ht="14.25" x14ac:dyDescent="0.2">
      <c r="A619" s="18"/>
      <c r="B619" s="18"/>
      <c r="C619" s="18" t="s">
        <v>641</v>
      </c>
      <c r="D619" s="19"/>
      <c r="E619" s="9"/>
      <c r="F619" s="21">
        <f>Source!AO398</f>
        <v>636.54</v>
      </c>
      <c r="G619" s="20" t="str">
        <f>Source!DG398</f>
        <v/>
      </c>
      <c r="H619" s="9">
        <f>Source!AV398</f>
        <v>1</v>
      </c>
      <c r="I619" s="9">
        <f>IF(Source!BA398&lt;&gt; 0, Source!BA398, 1)</f>
        <v>1</v>
      </c>
      <c r="J619" s="21">
        <f>Source!S398</f>
        <v>3819.24</v>
      </c>
      <c r="K619" s="21"/>
    </row>
    <row r="620" spans="1:22" ht="14.25" x14ac:dyDescent="0.2">
      <c r="A620" s="18"/>
      <c r="B620" s="18"/>
      <c r="C620" s="18" t="s">
        <v>649</v>
      </c>
      <c r="D620" s="19"/>
      <c r="E620" s="9"/>
      <c r="F620" s="21">
        <f>Source!AL398</f>
        <v>1.56</v>
      </c>
      <c r="G620" s="20" t="str">
        <f>Source!DD398</f>
        <v/>
      </c>
      <c r="H620" s="9">
        <f>Source!AW398</f>
        <v>1</v>
      </c>
      <c r="I620" s="9">
        <f>IF(Source!BC398&lt;&gt; 0, Source!BC398, 1)</f>
        <v>1</v>
      </c>
      <c r="J620" s="21">
        <f>Source!P398</f>
        <v>9.36</v>
      </c>
      <c r="K620" s="21"/>
    </row>
    <row r="621" spans="1:22" ht="14.25" x14ac:dyDescent="0.2">
      <c r="A621" s="18"/>
      <c r="B621" s="18"/>
      <c r="C621" s="18" t="s">
        <v>642</v>
      </c>
      <c r="D621" s="19" t="s">
        <v>643</v>
      </c>
      <c r="E621" s="9">
        <f>Source!AT398</f>
        <v>70</v>
      </c>
      <c r="F621" s="21"/>
      <c r="G621" s="20"/>
      <c r="H621" s="9"/>
      <c r="I621" s="9"/>
      <c r="J621" s="21">
        <f>SUM(R618:R620)</f>
        <v>2673.47</v>
      </c>
      <c r="K621" s="21"/>
    </row>
    <row r="622" spans="1:22" ht="14.25" x14ac:dyDescent="0.2">
      <c r="A622" s="18"/>
      <c r="B622" s="18"/>
      <c r="C622" s="18" t="s">
        <v>644</v>
      </c>
      <c r="D622" s="19" t="s">
        <v>643</v>
      </c>
      <c r="E622" s="9">
        <f>Source!AU398</f>
        <v>10</v>
      </c>
      <c r="F622" s="21"/>
      <c r="G622" s="20"/>
      <c r="H622" s="9"/>
      <c r="I622" s="9"/>
      <c r="J622" s="21">
        <f>SUM(T618:T621)</f>
        <v>381.92</v>
      </c>
      <c r="K622" s="21"/>
    </row>
    <row r="623" spans="1:22" ht="14.25" x14ac:dyDescent="0.2">
      <c r="A623" s="18"/>
      <c r="B623" s="18"/>
      <c r="C623" s="18" t="s">
        <v>645</v>
      </c>
      <c r="D623" s="19" t="s">
        <v>646</v>
      </c>
      <c r="E623" s="9">
        <f>Source!AQ398</f>
        <v>1.2</v>
      </c>
      <c r="F623" s="21"/>
      <c r="G623" s="20" t="str">
        <f>Source!DI398</f>
        <v/>
      </c>
      <c r="H623" s="9">
        <f>Source!AV398</f>
        <v>1</v>
      </c>
      <c r="I623" s="9"/>
      <c r="J623" s="21"/>
      <c r="K623" s="21">
        <f>Source!U398</f>
        <v>7.1999999999999993</v>
      </c>
    </row>
    <row r="624" spans="1:22" ht="15" x14ac:dyDescent="0.25">
      <c r="A624" s="24"/>
      <c r="B624" s="24"/>
      <c r="C624" s="24"/>
      <c r="D624" s="24"/>
      <c r="E624" s="24"/>
      <c r="F624" s="24"/>
      <c r="G624" s="24"/>
      <c r="H624" s="24"/>
      <c r="I624" s="38">
        <f>J619+J620+J621+J622</f>
        <v>6883.99</v>
      </c>
      <c r="J624" s="38"/>
      <c r="K624" s="25">
        <f>IF(Source!I398&lt;&gt;0, ROUND(I624/Source!I398, 2), 0)</f>
        <v>1147.33</v>
      </c>
      <c r="P624" s="23">
        <f>I624</f>
        <v>6883.99</v>
      </c>
    </row>
    <row r="625" spans="1:22" ht="57" x14ac:dyDescent="0.2">
      <c r="A625" s="18">
        <v>15</v>
      </c>
      <c r="B625" s="18" t="str">
        <f>Source!F399</f>
        <v>1.21-2301-24-1/1</v>
      </c>
      <c r="C625" s="18" t="str">
        <f>Source!G399</f>
        <v>Осмотр индикатора светосигнального светодиодного на лицевой панели распределительного устройства - ежедневный</v>
      </c>
      <c r="D625" s="19" t="str">
        <f>Source!H399</f>
        <v>10 шт.</v>
      </c>
      <c r="E625" s="9">
        <f>Source!I399</f>
        <v>0.6</v>
      </c>
      <c r="F625" s="21"/>
      <c r="G625" s="20"/>
      <c r="H625" s="9"/>
      <c r="I625" s="9"/>
      <c r="J625" s="21"/>
      <c r="K625" s="21"/>
      <c r="Q625">
        <f>ROUND((Source!BZ399/100)*ROUND((Source!AF399*Source!AV399)*Source!I399, 2), 2)</f>
        <v>431.67</v>
      </c>
      <c r="R625">
        <f>Source!X399</f>
        <v>431.67</v>
      </c>
      <c r="S625">
        <f>ROUND((Source!CA399/100)*ROUND((Source!AF399*Source!AV399)*Source!I399, 2), 2)</f>
        <v>61.67</v>
      </c>
      <c r="T625">
        <f>Source!Y399</f>
        <v>61.67</v>
      </c>
      <c r="U625">
        <f>ROUND((175/100)*ROUND((Source!AE399*Source!AV399)*Source!I399, 2), 2)</f>
        <v>0</v>
      </c>
      <c r="V625">
        <f>ROUND((108/100)*ROUND(Source!CS399*Source!I399, 2), 2)</f>
        <v>0</v>
      </c>
    </row>
    <row r="626" spans="1:22" x14ac:dyDescent="0.2">
      <c r="C626" s="22" t="str">
        <f>"Объем: "&amp;Source!I399&amp;"=6/"&amp;"10"</f>
        <v>Объем: 0,6=6/10</v>
      </c>
    </row>
    <row r="627" spans="1:22" ht="14.25" x14ac:dyDescent="0.2">
      <c r="A627" s="18"/>
      <c r="B627" s="18"/>
      <c r="C627" s="18" t="s">
        <v>641</v>
      </c>
      <c r="D627" s="19"/>
      <c r="E627" s="9"/>
      <c r="F627" s="21">
        <f>Source!AO399</f>
        <v>8.7100000000000009</v>
      </c>
      <c r="G627" s="20" t="str">
        <f>Source!DG399</f>
        <v>)*118</v>
      </c>
      <c r="H627" s="9">
        <f>Source!AV399</f>
        <v>1</v>
      </c>
      <c r="I627" s="9">
        <f>IF(Source!BA399&lt;&gt; 0, Source!BA399, 1)</f>
        <v>1</v>
      </c>
      <c r="J627" s="21">
        <f>Source!S399</f>
        <v>616.66999999999996</v>
      </c>
      <c r="K627" s="21"/>
    </row>
    <row r="628" spans="1:22" ht="14.25" x14ac:dyDescent="0.2">
      <c r="A628" s="18"/>
      <c r="B628" s="18"/>
      <c r="C628" s="18" t="s">
        <v>642</v>
      </c>
      <c r="D628" s="19" t="s">
        <v>643</v>
      </c>
      <c r="E628" s="9">
        <f>Source!AT399</f>
        <v>70</v>
      </c>
      <c r="F628" s="21"/>
      <c r="G628" s="20"/>
      <c r="H628" s="9"/>
      <c r="I628" s="9"/>
      <c r="J628" s="21">
        <f>SUM(R625:R627)</f>
        <v>431.67</v>
      </c>
      <c r="K628" s="21"/>
    </row>
    <row r="629" spans="1:22" ht="14.25" x14ac:dyDescent="0.2">
      <c r="A629" s="18"/>
      <c r="B629" s="18"/>
      <c r="C629" s="18" t="s">
        <v>644</v>
      </c>
      <c r="D629" s="19" t="s">
        <v>643</v>
      </c>
      <c r="E629" s="9">
        <f>Source!AU399</f>
        <v>10</v>
      </c>
      <c r="F629" s="21"/>
      <c r="G629" s="20"/>
      <c r="H629" s="9"/>
      <c r="I629" s="9"/>
      <c r="J629" s="21">
        <f>SUM(T625:T628)</f>
        <v>61.67</v>
      </c>
      <c r="K629" s="21"/>
    </row>
    <row r="630" spans="1:22" ht="14.25" x14ac:dyDescent="0.2">
      <c r="A630" s="18"/>
      <c r="B630" s="18"/>
      <c r="C630" s="18" t="s">
        <v>645</v>
      </c>
      <c r="D630" s="19" t="s">
        <v>646</v>
      </c>
      <c r="E630" s="9">
        <f>Source!AQ399</f>
        <v>0.02</v>
      </c>
      <c r="F630" s="21"/>
      <c r="G630" s="20" t="str">
        <f>Source!DI399</f>
        <v>)*118</v>
      </c>
      <c r="H630" s="9">
        <f>Source!AV399</f>
        <v>1</v>
      </c>
      <c r="I630" s="9"/>
      <c r="J630" s="21"/>
      <c r="K630" s="21">
        <f>Source!U399</f>
        <v>1.4159999999999999</v>
      </c>
    </row>
    <row r="631" spans="1:22" ht="15" x14ac:dyDescent="0.25">
      <c r="A631" s="24"/>
      <c r="B631" s="24"/>
      <c r="C631" s="24"/>
      <c r="D631" s="24"/>
      <c r="E631" s="24"/>
      <c r="F631" s="24"/>
      <c r="G631" s="24"/>
      <c r="H631" s="24"/>
      <c r="I631" s="38">
        <f>J627+J628+J629</f>
        <v>1110.01</v>
      </c>
      <c r="J631" s="38"/>
      <c r="K631" s="25">
        <f>IF(Source!I399&lt;&gt;0, ROUND(I631/Source!I399, 2), 0)</f>
        <v>1850.02</v>
      </c>
      <c r="P631" s="23">
        <f>I631</f>
        <v>1110.01</v>
      </c>
    </row>
    <row r="632" spans="1:22" ht="57" x14ac:dyDescent="0.2">
      <c r="A632" s="18">
        <v>16</v>
      </c>
      <c r="B632" s="18" t="str">
        <f>Source!F400</f>
        <v>1.21-2303-39-1/1</v>
      </c>
      <c r="C632" s="18" t="str">
        <f>Source!G400</f>
        <v>Техническое обслуживание индикатора светосигнального светодиодного на лицевой панели распределительного устройства - полугодовое</v>
      </c>
      <c r="D632" s="19" t="str">
        <f>Source!H400</f>
        <v>10 шт.</v>
      </c>
      <c r="E632" s="9">
        <f>Source!I400</f>
        <v>0.6</v>
      </c>
      <c r="F632" s="21"/>
      <c r="G632" s="20"/>
      <c r="H632" s="9"/>
      <c r="I632" s="9"/>
      <c r="J632" s="21"/>
      <c r="K632" s="21"/>
      <c r="Q632">
        <f>ROUND((Source!BZ400/100)*ROUND((Source!AF400*Source!AV400)*Source!I400, 2), 2)</f>
        <v>89.24</v>
      </c>
      <c r="R632">
        <f>Source!X400</f>
        <v>89.24</v>
      </c>
      <c r="S632">
        <f>ROUND((Source!CA400/100)*ROUND((Source!AF400*Source!AV400)*Source!I400, 2), 2)</f>
        <v>12.75</v>
      </c>
      <c r="T632">
        <f>Source!Y400</f>
        <v>12.75</v>
      </c>
      <c r="U632">
        <f>ROUND((175/100)*ROUND((Source!AE400*Source!AV400)*Source!I400, 2), 2)</f>
        <v>0</v>
      </c>
      <c r="V632">
        <f>ROUND((108/100)*ROUND(Source!CS400*Source!I400, 2), 2)</f>
        <v>0</v>
      </c>
    </row>
    <row r="633" spans="1:22" x14ac:dyDescent="0.2">
      <c r="C633" s="22" t="str">
        <f>"Объем: "&amp;Source!I400&amp;"=6/"&amp;"10"</f>
        <v>Объем: 0,6=6/10</v>
      </c>
    </row>
    <row r="634" spans="1:22" ht="14.25" x14ac:dyDescent="0.2">
      <c r="A634" s="18"/>
      <c r="B634" s="18"/>
      <c r="C634" s="18" t="s">
        <v>641</v>
      </c>
      <c r="D634" s="19"/>
      <c r="E634" s="9"/>
      <c r="F634" s="21">
        <f>Source!AO400</f>
        <v>212.49</v>
      </c>
      <c r="G634" s="20" t="str">
        <f>Source!DG400</f>
        <v/>
      </c>
      <c r="H634" s="9">
        <f>Source!AV400</f>
        <v>1</v>
      </c>
      <c r="I634" s="9">
        <f>IF(Source!BA400&lt;&gt; 0, Source!BA400, 1)</f>
        <v>1</v>
      </c>
      <c r="J634" s="21">
        <f>Source!S400</f>
        <v>127.49</v>
      </c>
      <c r="K634" s="21"/>
    </row>
    <row r="635" spans="1:22" ht="14.25" x14ac:dyDescent="0.2">
      <c r="A635" s="18"/>
      <c r="B635" s="18"/>
      <c r="C635" s="18" t="s">
        <v>649</v>
      </c>
      <c r="D635" s="19"/>
      <c r="E635" s="9"/>
      <c r="F635" s="21">
        <f>Source!AL400</f>
        <v>3.84</v>
      </c>
      <c r="G635" s="20" t="str">
        <f>Source!DD400</f>
        <v/>
      </c>
      <c r="H635" s="9">
        <f>Source!AW400</f>
        <v>1</v>
      </c>
      <c r="I635" s="9">
        <f>IF(Source!BC400&lt;&gt; 0, Source!BC400, 1)</f>
        <v>1</v>
      </c>
      <c r="J635" s="21">
        <f>Source!P400</f>
        <v>2.2999999999999998</v>
      </c>
      <c r="K635" s="21"/>
    </row>
    <row r="636" spans="1:22" ht="14.25" x14ac:dyDescent="0.2">
      <c r="A636" s="18"/>
      <c r="B636" s="18"/>
      <c r="C636" s="18" t="s">
        <v>642</v>
      </c>
      <c r="D636" s="19" t="s">
        <v>643</v>
      </c>
      <c r="E636" s="9">
        <f>Source!AT400</f>
        <v>70</v>
      </c>
      <c r="F636" s="21"/>
      <c r="G636" s="20"/>
      <c r="H636" s="9"/>
      <c r="I636" s="9"/>
      <c r="J636" s="21">
        <f>SUM(R632:R635)</f>
        <v>89.24</v>
      </c>
      <c r="K636" s="21"/>
    </row>
    <row r="637" spans="1:22" ht="14.25" x14ac:dyDescent="0.2">
      <c r="A637" s="18"/>
      <c r="B637" s="18"/>
      <c r="C637" s="18" t="s">
        <v>644</v>
      </c>
      <c r="D637" s="19" t="s">
        <v>643</v>
      </c>
      <c r="E637" s="9">
        <f>Source!AU400</f>
        <v>10</v>
      </c>
      <c r="F637" s="21"/>
      <c r="G637" s="20"/>
      <c r="H637" s="9"/>
      <c r="I637" s="9"/>
      <c r="J637" s="21">
        <f>SUM(T632:T636)</f>
        <v>12.75</v>
      </c>
      <c r="K637" s="21"/>
    </row>
    <row r="638" spans="1:22" ht="14.25" x14ac:dyDescent="0.2">
      <c r="A638" s="18"/>
      <c r="B638" s="18"/>
      <c r="C638" s="18" t="s">
        <v>645</v>
      </c>
      <c r="D638" s="19" t="s">
        <v>646</v>
      </c>
      <c r="E638" s="9">
        <f>Source!AQ400</f>
        <v>0.44</v>
      </c>
      <c r="F638" s="21"/>
      <c r="G638" s="20" t="str">
        <f>Source!DI400</f>
        <v/>
      </c>
      <c r="H638" s="9">
        <f>Source!AV400</f>
        <v>1</v>
      </c>
      <c r="I638" s="9"/>
      <c r="J638" s="21"/>
      <c r="K638" s="21">
        <f>Source!U400</f>
        <v>0.26400000000000001</v>
      </c>
    </row>
    <row r="639" spans="1:22" ht="15" x14ac:dyDescent="0.25">
      <c r="A639" s="24"/>
      <c r="B639" s="24"/>
      <c r="C639" s="24"/>
      <c r="D639" s="24"/>
      <c r="E639" s="24"/>
      <c r="F639" s="24"/>
      <c r="G639" s="24"/>
      <c r="H639" s="24"/>
      <c r="I639" s="38">
        <f>J634+J635+J636+J637</f>
        <v>231.77999999999997</v>
      </c>
      <c r="J639" s="38"/>
      <c r="K639" s="25">
        <f>IF(Source!I400&lt;&gt;0, ROUND(I639/Source!I400, 2), 0)</f>
        <v>386.3</v>
      </c>
      <c r="P639" s="23">
        <f>I639</f>
        <v>231.77999999999997</v>
      </c>
    </row>
    <row r="640" spans="1:22" ht="28.5" x14ac:dyDescent="0.2">
      <c r="A640" s="18">
        <v>17</v>
      </c>
      <c r="B640" s="18" t="str">
        <f>Source!F401</f>
        <v>1.23-2103-4-1/1</v>
      </c>
      <c r="C640" s="18" t="str">
        <f>Source!G401</f>
        <v>Техническое обслуживание реле напряжения, реле промежуточного</v>
      </c>
      <c r="D640" s="19" t="str">
        <f>Source!H401</f>
        <v>шт.</v>
      </c>
      <c r="E640" s="9">
        <f>Source!I401</f>
        <v>12</v>
      </c>
      <c r="F640" s="21"/>
      <c r="G640" s="20"/>
      <c r="H640" s="9"/>
      <c r="I640" s="9"/>
      <c r="J640" s="21"/>
      <c r="K640" s="21"/>
      <c r="Q640">
        <f>ROUND((Source!BZ401/100)*ROUND((Source!AF401*Source!AV401)*Source!I401, 2), 2)</f>
        <v>5346.94</v>
      </c>
      <c r="R640">
        <f>Source!X401</f>
        <v>5346.94</v>
      </c>
      <c r="S640">
        <f>ROUND((Source!CA401/100)*ROUND((Source!AF401*Source!AV401)*Source!I401, 2), 2)</f>
        <v>763.85</v>
      </c>
      <c r="T640">
        <f>Source!Y401</f>
        <v>763.85</v>
      </c>
      <c r="U640">
        <f>ROUND((175/100)*ROUND((Source!AE401*Source!AV401)*Source!I401, 2), 2)</f>
        <v>0</v>
      </c>
      <c r="V640">
        <f>ROUND((108/100)*ROUND(Source!CS401*Source!I401, 2), 2)</f>
        <v>0</v>
      </c>
    </row>
    <row r="641" spans="1:22" ht="14.25" x14ac:dyDescent="0.2">
      <c r="A641" s="18"/>
      <c r="B641" s="18"/>
      <c r="C641" s="18" t="s">
        <v>641</v>
      </c>
      <c r="D641" s="19"/>
      <c r="E641" s="9"/>
      <c r="F641" s="21">
        <f>Source!AO401</f>
        <v>318.27</v>
      </c>
      <c r="G641" s="20" t="str">
        <f>Source!DG401</f>
        <v>)*2</v>
      </c>
      <c r="H641" s="9">
        <f>Source!AV401</f>
        <v>1</v>
      </c>
      <c r="I641" s="9">
        <f>IF(Source!BA401&lt;&gt; 0, Source!BA401, 1)</f>
        <v>1</v>
      </c>
      <c r="J641" s="21">
        <f>Source!S401</f>
        <v>7638.48</v>
      </c>
      <c r="K641" s="21"/>
    </row>
    <row r="642" spans="1:22" ht="14.25" x14ac:dyDescent="0.2">
      <c r="A642" s="18"/>
      <c r="B642" s="18"/>
      <c r="C642" s="18" t="s">
        <v>649</v>
      </c>
      <c r="D642" s="19"/>
      <c r="E642" s="9"/>
      <c r="F642" s="21">
        <f>Source!AL401</f>
        <v>0.79</v>
      </c>
      <c r="G642" s="20" t="str">
        <f>Source!DD401</f>
        <v>)*2</v>
      </c>
      <c r="H642" s="9">
        <f>Source!AW401</f>
        <v>1</v>
      </c>
      <c r="I642" s="9">
        <f>IF(Source!BC401&lt;&gt; 0, Source!BC401, 1)</f>
        <v>1</v>
      </c>
      <c r="J642" s="21">
        <f>Source!P401</f>
        <v>18.96</v>
      </c>
      <c r="K642" s="21"/>
    </row>
    <row r="643" spans="1:22" ht="14.25" x14ac:dyDescent="0.2">
      <c r="A643" s="18"/>
      <c r="B643" s="18"/>
      <c r="C643" s="18" t="s">
        <v>642</v>
      </c>
      <c r="D643" s="19" t="s">
        <v>643</v>
      </c>
      <c r="E643" s="9">
        <f>Source!AT401</f>
        <v>70</v>
      </c>
      <c r="F643" s="21"/>
      <c r="G643" s="20"/>
      <c r="H643" s="9"/>
      <c r="I643" s="9"/>
      <c r="J643" s="21">
        <f>SUM(R640:R642)</f>
        <v>5346.94</v>
      </c>
      <c r="K643" s="21"/>
    </row>
    <row r="644" spans="1:22" ht="14.25" x14ac:dyDescent="0.2">
      <c r="A644" s="18"/>
      <c r="B644" s="18"/>
      <c r="C644" s="18" t="s">
        <v>644</v>
      </c>
      <c r="D644" s="19" t="s">
        <v>643</v>
      </c>
      <c r="E644" s="9">
        <f>Source!AU401</f>
        <v>10</v>
      </c>
      <c r="F644" s="21"/>
      <c r="G644" s="20"/>
      <c r="H644" s="9"/>
      <c r="I644" s="9"/>
      <c r="J644" s="21">
        <f>SUM(T640:T643)</f>
        <v>763.85</v>
      </c>
      <c r="K644" s="21"/>
    </row>
    <row r="645" spans="1:22" ht="14.25" x14ac:dyDescent="0.2">
      <c r="A645" s="18"/>
      <c r="B645" s="18"/>
      <c r="C645" s="18" t="s">
        <v>645</v>
      </c>
      <c r="D645" s="19" t="s">
        <v>646</v>
      </c>
      <c r="E645" s="9">
        <f>Source!AQ401</f>
        <v>0.6</v>
      </c>
      <c r="F645" s="21"/>
      <c r="G645" s="20" t="str">
        <f>Source!DI401</f>
        <v>)*2</v>
      </c>
      <c r="H645" s="9">
        <f>Source!AV401</f>
        <v>1</v>
      </c>
      <c r="I645" s="9"/>
      <c r="J645" s="21"/>
      <c r="K645" s="21">
        <f>Source!U401</f>
        <v>14.399999999999999</v>
      </c>
    </row>
    <row r="646" spans="1:22" ht="15" x14ac:dyDescent="0.25">
      <c r="A646" s="24"/>
      <c r="B646" s="24"/>
      <c r="C646" s="24"/>
      <c r="D646" s="24"/>
      <c r="E646" s="24"/>
      <c r="F646" s="24"/>
      <c r="G646" s="24"/>
      <c r="H646" s="24"/>
      <c r="I646" s="38">
        <f>J641+J642+J643+J644</f>
        <v>13768.23</v>
      </c>
      <c r="J646" s="38"/>
      <c r="K646" s="25">
        <f>IF(Source!I401&lt;&gt;0, ROUND(I646/Source!I401, 2), 0)</f>
        <v>1147.3499999999999</v>
      </c>
      <c r="P646" s="23">
        <f>I646</f>
        <v>13768.23</v>
      </c>
    </row>
    <row r="647" spans="1:22" ht="28.5" x14ac:dyDescent="0.2">
      <c r="A647" s="18">
        <v>18</v>
      </c>
      <c r="B647" s="18" t="str">
        <f>Source!F402</f>
        <v>1.22-2203-78-1/1</v>
      </c>
      <c r="C647" s="18" t="str">
        <f>Source!G402</f>
        <v>Техническое обслуживание блока питания типа БРП-12-01Л</v>
      </c>
      <c r="D647" s="19" t="str">
        <f>Source!H402</f>
        <v>шт.</v>
      </c>
      <c r="E647" s="9">
        <f>Source!I402</f>
        <v>2</v>
      </c>
      <c r="F647" s="21"/>
      <c r="G647" s="20"/>
      <c r="H647" s="9"/>
      <c r="I647" s="9"/>
      <c r="J647" s="21"/>
      <c r="K647" s="21"/>
      <c r="Q647">
        <f>ROUND((Source!BZ402/100)*ROUND((Source!AF402*Source!AV402)*Source!I402, 2), 2)</f>
        <v>574.59</v>
      </c>
      <c r="R647">
        <f>Source!X402</f>
        <v>574.59</v>
      </c>
      <c r="S647">
        <f>ROUND((Source!CA402/100)*ROUND((Source!AF402*Source!AV402)*Source!I402, 2), 2)</f>
        <v>82.08</v>
      </c>
      <c r="T647">
        <f>Source!Y402</f>
        <v>82.08</v>
      </c>
      <c r="U647">
        <f>ROUND((175/100)*ROUND((Source!AE402*Source!AV402)*Source!I402, 2), 2)</f>
        <v>0</v>
      </c>
      <c r="V647">
        <f>ROUND((108/100)*ROUND(Source!CS402*Source!I402, 2), 2)</f>
        <v>0</v>
      </c>
    </row>
    <row r="648" spans="1:22" ht="14.25" x14ac:dyDescent="0.2">
      <c r="A648" s="18"/>
      <c r="B648" s="18"/>
      <c r="C648" s="18" t="s">
        <v>641</v>
      </c>
      <c r="D648" s="19"/>
      <c r="E648" s="9"/>
      <c r="F648" s="21">
        <f>Source!AO402</f>
        <v>410.42</v>
      </c>
      <c r="G648" s="20" t="str">
        <f>Source!DG402</f>
        <v/>
      </c>
      <c r="H648" s="9">
        <f>Source!AV402</f>
        <v>1</v>
      </c>
      <c r="I648" s="9">
        <f>IF(Source!BA402&lt;&gt; 0, Source!BA402, 1)</f>
        <v>1</v>
      </c>
      <c r="J648" s="21">
        <f>Source!S402</f>
        <v>820.84</v>
      </c>
      <c r="K648" s="21"/>
    </row>
    <row r="649" spans="1:22" ht="14.25" x14ac:dyDescent="0.2">
      <c r="A649" s="18"/>
      <c r="B649" s="18"/>
      <c r="C649" s="18" t="s">
        <v>649</v>
      </c>
      <c r="D649" s="19"/>
      <c r="E649" s="9"/>
      <c r="F649" s="21">
        <f>Source!AL402</f>
        <v>4.03</v>
      </c>
      <c r="G649" s="20" t="str">
        <f>Source!DD402</f>
        <v/>
      </c>
      <c r="H649" s="9">
        <f>Source!AW402</f>
        <v>1</v>
      </c>
      <c r="I649" s="9">
        <f>IF(Source!BC402&lt;&gt; 0, Source!BC402, 1)</f>
        <v>1</v>
      </c>
      <c r="J649" s="21">
        <f>Source!P402</f>
        <v>8.06</v>
      </c>
      <c r="K649" s="21"/>
    </row>
    <row r="650" spans="1:22" ht="14.25" x14ac:dyDescent="0.2">
      <c r="A650" s="18"/>
      <c r="B650" s="18"/>
      <c r="C650" s="18" t="s">
        <v>642</v>
      </c>
      <c r="D650" s="19" t="s">
        <v>643</v>
      </c>
      <c r="E650" s="9">
        <f>Source!AT402</f>
        <v>70</v>
      </c>
      <c r="F650" s="21"/>
      <c r="G650" s="20"/>
      <c r="H650" s="9"/>
      <c r="I650" s="9"/>
      <c r="J650" s="21">
        <f>SUM(R647:R649)</f>
        <v>574.59</v>
      </c>
      <c r="K650" s="21"/>
    </row>
    <row r="651" spans="1:22" ht="14.25" x14ac:dyDescent="0.2">
      <c r="A651" s="18"/>
      <c r="B651" s="18"/>
      <c r="C651" s="18" t="s">
        <v>644</v>
      </c>
      <c r="D651" s="19" t="s">
        <v>643</v>
      </c>
      <c r="E651" s="9">
        <f>Source!AU402</f>
        <v>10</v>
      </c>
      <c r="F651" s="21"/>
      <c r="G651" s="20"/>
      <c r="H651" s="9"/>
      <c r="I651" s="9"/>
      <c r="J651" s="21">
        <f>SUM(T647:T650)</f>
        <v>82.08</v>
      </c>
      <c r="K651" s="21"/>
    </row>
    <row r="652" spans="1:22" ht="14.25" x14ac:dyDescent="0.2">
      <c r="A652" s="18"/>
      <c r="B652" s="18"/>
      <c r="C652" s="18" t="s">
        <v>645</v>
      </c>
      <c r="D652" s="19" t="s">
        <v>646</v>
      </c>
      <c r="E652" s="9">
        <f>Source!AQ402</f>
        <v>0.72</v>
      </c>
      <c r="F652" s="21"/>
      <c r="G652" s="20" t="str">
        <f>Source!DI402</f>
        <v/>
      </c>
      <c r="H652" s="9">
        <f>Source!AV402</f>
        <v>1</v>
      </c>
      <c r="I652" s="9"/>
      <c r="J652" s="21"/>
      <c r="K652" s="21">
        <f>Source!U402</f>
        <v>1.44</v>
      </c>
    </row>
    <row r="653" spans="1:22" ht="15" x14ac:dyDescent="0.25">
      <c r="A653" s="24"/>
      <c r="B653" s="24"/>
      <c r="C653" s="24"/>
      <c r="D653" s="24"/>
      <c r="E653" s="24"/>
      <c r="F653" s="24"/>
      <c r="G653" s="24"/>
      <c r="H653" s="24"/>
      <c r="I653" s="38">
        <f>J648+J649+J650+J651</f>
        <v>1485.57</v>
      </c>
      <c r="J653" s="38"/>
      <c r="K653" s="25">
        <f>IF(Source!I402&lt;&gt;0, ROUND(I653/Source!I402, 2), 0)</f>
        <v>742.79</v>
      </c>
      <c r="P653" s="23">
        <f>I653</f>
        <v>1485.57</v>
      </c>
    </row>
    <row r="654" spans="1:22" ht="28.5" x14ac:dyDescent="0.2">
      <c r="A654" s="18">
        <v>19</v>
      </c>
      <c r="B654" s="18" t="str">
        <f>Source!F403</f>
        <v>1.22-2201-67-1/1</v>
      </c>
      <c r="C654" s="18" t="str">
        <f>Source!G403</f>
        <v>Технический осмотр блока питания типа БРП-12-01Л</v>
      </c>
      <c r="D654" s="19" t="str">
        <f>Source!H403</f>
        <v>шт.</v>
      </c>
      <c r="E654" s="9">
        <f>Source!I403</f>
        <v>2</v>
      </c>
      <c r="F654" s="21"/>
      <c r="G654" s="20"/>
      <c r="H654" s="9"/>
      <c r="I654" s="9"/>
      <c r="J654" s="21"/>
      <c r="K654" s="21"/>
      <c r="Q654">
        <f>ROUND((Source!BZ403/100)*ROUND((Source!AF403*Source!AV403)*Source!I403, 2), 2)</f>
        <v>478.84</v>
      </c>
      <c r="R654">
        <f>Source!X403</f>
        <v>478.84</v>
      </c>
      <c r="S654">
        <f>ROUND((Source!CA403/100)*ROUND((Source!AF403*Source!AV403)*Source!I403, 2), 2)</f>
        <v>68.41</v>
      </c>
      <c r="T654">
        <f>Source!Y403</f>
        <v>68.41</v>
      </c>
      <c r="U654">
        <f>ROUND((175/100)*ROUND((Source!AE403*Source!AV403)*Source!I403, 2), 2)</f>
        <v>0</v>
      </c>
      <c r="V654">
        <f>ROUND((108/100)*ROUND(Source!CS403*Source!I403, 2), 2)</f>
        <v>0</v>
      </c>
    </row>
    <row r="655" spans="1:22" ht="14.25" x14ac:dyDescent="0.2">
      <c r="A655" s="18"/>
      <c r="B655" s="18"/>
      <c r="C655" s="18" t="s">
        <v>641</v>
      </c>
      <c r="D655" s="19"/>
      <c r="E655" s="9"/>
      <c r="F655" s="21">
        <f>Source!AO403</f>
        <v>114.01</v>
      </c>
      <c r="G655" s="20" t="str">
        <f>Source!DG403</f>
        <v>)*3</v>
      </c>
      <c r="H655" s="9">
        <f>Source!AV403</f>
        <v>1</v>
      </c>
      <c r="I655" s="9">
        <f>IF(Source!BA403&lt;&gt; 0, Source!BA403, 1)</f>
        <v>1</v>
      </c>
      <c r="J655" s="21">
        <f>Source!S403</f>
        <v>684.06</v>
      </c>
      <c r="K655" s="21"/>
    </row>
    <row r="656" spans="1:22" ht="14.25" x14ac:dyDescent="0.2">
      <c r="A656" s="18"/>
      <c r="B656" s="18"/>
      <c r="C656" s="18" t="s">
        <v>649</v>
      </c>
      <c r="D656" s="19"/>
      <c r="E656" s="9"/>
      <c r="F656" s="21">
        <f>Source!AL403</f>
        <v>7.79</v>
      </c>
      <c r="G656" s="20" t="str">
        <f>Source!DD403</f>
        <v>)*3</v>
      </c>
      <c r="H656" s="9">
        <f>Source!AW403</f>
        <v>1</v>
      </c>
      <c r="I656" s="9">
        <f>IF(Source!BC403&lt;&gt; 0, Source!BC403, 1)</f>
        <v>1</v>
      </c>
      <c r="J656" s="21">
        <f>Source!P403</f>
        <v>46.74</v>
      </c>
      <c r="K656" s="21"/>
    </row>
    <row r="657" spans="1:22" ht="14.25" x14ac:dyDescent="0.2">
      <c r="A657" s="18"/>
      <c r="B657" s="18"/>
      <c r="C657" s="18" t="s">
        <v>642</v>
      </c>
      <c r="D657" s="19" t="s">
        <v>643</v>
      </c>
      <c r="E657" s="9">
        <f>Source!AT403</f>
        <v>70</v>
      </c>
      <c r="F657" s="21"/>
      <c r="G657" s="20"/>
      <c r="H657" s="9"/>
      <c r="I657" s="9"/>
      <c r="J657" s="21">
        <f>SUM(R654:R656)</f>
        <v>478.84</v>
      </c>
      <c r="K657" s="21"/>
    </row>
    <row r="658" spans="1:22" ht="14.25" x14ac:dyDescent="0.2">
      <c r="A658" s="18"/>
      <c r="B658" s="18"/>
      <c r="C658" s="18" t="s">
        <v>644</v>
      </c>
      <c r="D658" s="19" t="s">
        <v>643</v>
      </c>
      <c r="E658" s="9">
        <f>Source!AU403</f>
        <v>10</v>
      </c>
      <c r="F658" s="21"/>
      <c r="G658" s="20"/>
      <c r="H658" s="9"/>
      <c r="I658" s="9"/>
      <c r="J658" s="21">
        <f>SUM(T654:T657)</f>
        <v>68.41</v>
      </c>
      <c r="K658" s="21"/>
    </row>
    <row r="659" spans="1:22" ht="14.25" x14ac:dyDescent="0.2">
      <c r="A659" s="18"/>
      <c r="B659" s="18"/>
      <c r="C659" s="18" t="s">
        <v>645</v>
      </c>
      <c r="D659" s="19" t="s">
        <v>646</v>
      </c>
      <c r="E659" s="9">
        <f>Source!AQ403</f>
        <v>0.2</v>
      </c>
      <c r="F659" s="21"/>
      <c r="G659" s="20" t="str">
        <f>Source!DI403</f>
        <v>)*3</v>
      </c>
      <c r="H659" s="9">
        <f>Source!AV403</f>
        <v>1</v>
      </c>
      <c r="I659" s="9"/>
      <c r="J659" s="21"/>
      <c r="K659" s="21">
        <f>Source!U403</f>
        <v>1.2000000000000002</v>
      </c>
    </row>
    <row r="660" spans="1:22" ht="15" x14ac:dyDescent="0.25">
      <c r="A660" s="24"/>
      <c r="B660" s="24"/>
      <c r="C660" s="24"/>
      <c r="D660" s="24"/>
      <c r="E660" s="24"/>
      <c r="F660" s="24"/>
      <c r="G660" s="24"/>
      <c r="H660" s="24"/>
      <c r="I660" s="38">
        <f>J655+J656+J657+J658</f>
        <v>1278.05</v>
      </c>
      <c r="J660" s="38"/>
      <c r="K660" s="25">
        <f>IF(Source!I403&lt;&gt;0, ROUND(I660/Source!I403, 2), 0)</f>
        <v>639.03</v>
      </c>
      <c r="P660" s="23">
        <f>I660</f>
        <v>1278.05</v>
      </c>
    </row>
    <row r="661" spans="1:22" ht="57" x14ac:dyDescent="0.2">
      <c r="A661" s="18">
        <v>20</v>
      </c>
      <c r="B661" s="18" t="str">
        <f>Source!F405</f>
        <v>1.23-2303-23-6/1</v>
      </c>
      <c r="C661" s="18" t="str">
        <f>Source!G405</f>
        <v>Техническое обслуживание систем автоматики и диспетчеризации вентиляции - обслуживание модулей расширения</v>
      </c>
      <c r="D661" s="19" t="str">
        <f>Source!H405</f>
        <v>камера</v>
      </c>
      <c r="E661" s="9">
        <f>Source!I405</f>
        <v>4</v>
      </c>
      <c r="F661" s="21"/>
      <c r="G661" s="20"/>
      <c r="H661" s="9"/>
      <c r="I661" s="9"/>
      <c r="J661" s="21"/>
      <c r="K661" s="21"/>
      <c r="Q661">
        <f>ROUND((Source!BZ405/100)*ROUND((Source!AF405*Source!AV405)*Source!I405, 2), 2)</f>
        <v>3226.72</v>
      </c>
      <c r="R661">
        <f>Source!X405</f>
        <v>3226.72</v>
      </c>
      <c r="S661">
        <f>ROUND((Source!CA405/100)*ROUND((Source!AF405*Source!AV405)*Source!I405, 2), 2)</f>
        <v>460.96</v>
      </c>
      <c r="T661">
        <f>Source!Y405</f>
        <v>460.96</v>
      </c>
      <c r="U661">
        <f>ROUND((175/100)*ROUND((Source!AE405*Source!AV405)*Source!I405, 2), 2)</f>
        <v>0</v>
      </c>
      <c r="V661">
        <f>ROUND((108/100)*ROUND(Source!CS405*Source!I405, 2), 2)</f>
        <v>0</v>
      </c>
    </row>
    <row r="662" spans="1:22" ht="14.25" x14ac:dyDescent="0.2">
      <c r="A662" s="18"/>
      <c r="B662" s="18"/>
      <c r="C662" s="18" t="s">
        <v>641</v>
      </c>
      <c r="D662" s="19"/>
      <c r="E662" s="9"/>
      <c r="F662" s="21">
        <f>Source!AO405</f>
        <v>288.10000000000002</v>
      </c>
      <c r="G662" s="20" t="str">
        <f>Source!DG405</f>
        <v>)*4</v>
      </c>
      <c r="H662" s="9">
        <f>Source!AV405</f>
        <v>1</v>
      </c>
      <c r="I662" s="9">
        <f>IF(Source!BA405&lt;&gt; 0, Source!BA405, 1)</f>
        <v>1</v>
      </c>
      <c r="J662" s="21">
        <f>Source!S405</f>
        <v>4609.6000000000004</v>
      </c>
      <c r="K662" s="21"/>
    </row>
    <row r="663" spans="1:22" ht="14.25" x14ac:dyDescent="0.2">
      <c r="A663" s="18"/>
      <c r="B663" s="18"/>
      <c r="C663" s="18" t="s">
        <v>642</v>
      </c>
      <c r="D663" s="19" t="s">
        <v>643</v>
      </c>
      <c r="E663" s="9">
        <f>Source!AT405</f>
        <v>70</v>
      </c>
      <c r="F663" s="21"/>
      <c r="G663" s="20"/>
      <c r="H663" s="9"/>
      <c r="I663" s="9"/>
      <c r="J663" s="21">
        <f>SUM(R661:R662)</f>
        <v>3226.72</v>
      </c>
      <c r="K663" s="21"/>
    </row>
    <row r="664" spans="1:22" ht="14.25" x14ac:dyDescent="0.2">
      <c r="A664" s="18"/>
      <c r="B664" s="18"/>
      <c r="C664" s="18" t="s">
        <v>644</v>
      </c>
      <c r="D664" s="19" t="s">
        <v>643</v>
      </c>
      <c r="E664" s="9">
        <f>Source!AU405</f>
        <v>10</v>
      </c>
      <c r="F664" s="21"/>
      <c r="G664" s="20"/>
      <c r="H664" s="9"/>
      <c r="I664" s="9"/>
      <c r="J664" s="21">
        <f>SUM(T661:T663)</f>
        <v>460.96</v>
      </c>
      <c r="K664" s="21"/>
    </row>
    <row r="665" spans="1:22" ht="14.25" x14ac:dyDescent="0.2">
      <c r="A665" s="18"/>
      <c r="B665" s="18"/>
      <c r="C665" s="18" t="s">
        <v>645</v>
      </c>
      <c r="D665" s="19" t="s">
        <v>646</v>
      </c>
      <c r="E665" s="9">
        <f>Source!AQ405</f>
        <v>0.44</v>
      </c>
      <c r="F665" s="21"/>
      <c r="G665" s="20" t="str">
        <f>Source!DI405</f>
        <v>)*4</v>
      </c>
      <c r="H665" s="9">
        <f>Source!AV405</f>
        <v>1</v>
      </c>
      <c r="I665" s="9"/>
      <c r="J665" s="21"/>
      <c r="K665" s="21">
        <f>Source!U405</f>
        <v>7.04</v>
      </c>
    </row>
    <row r="666" spans="1:22" ht="15" x14ac:dyDescent="0.25">
      <c r="A666" s="24"/>
      <c r="B666" s="24"/>
      <c r="C666" s="24"/>
      <c r="D666" s="24"/>
      <c r="E666" s="24"/>
      <c r="F666" s="24"/>
      <c r="G666" s="24"/>
      <c r="H666" s="24"/>
      <c r="I666" s="38">
        <f>J662+J663+J664</f>
        <v>8297.2799999999988</v>
      </c>
      <c r="J666" s="38"/>
      <c r="K666" s="25">
        <f>IF(Source!I405&lt;&gt;0, ROUND(I666/Source!I405, 2), 0)</f>
        <v>2074.3200000000002</v>
      </c>
      <c r="P666" s="23">
        <f>I666</f>
        <v>8297.2799999999988</v>
      </c>
    </row>
    <row r="667" spans="1:22" ht="42.75" x14ac:dyDescent="0.2">
      <c r="A667" s="18">
        <v>21</v>
      </c>
      <c r="B667" s="18" t="str">
        <f>Source!F406</f>
        <v>3.1-2203-11-1/1</v>
      </c>
      <c r="C667" s="18" t="str">
        <f>Source!G406</f>
        <v>Техническое обслуживание коммутатора 8-зонного "RU8020" / (прим)</v>
      </c>
      <c r="D667" s="19" t="str">
        <f>Source!H406</f>
        <v>шт.</v>
      </c>
      <c r="E667" s="9">
        <f>Source!I406</f>
        <v>1</v>
      </c>
      <c r="F667" s="21"/>
      <c r="G667" s="20"/>
      <c r="H667" s="9"/>
      <c r="I667" s="9"/>
      <c r="J667" s="21"/>
      <c r="K667" s="21"/>
      <c r="Q667">
        <f>ROUND((Source!BZ406/100)*ROUND((Source!AF406*Source!AV406)*Source!I406, 2), 2)</f>
        <v>516.35</v>
      </c>
      <c r="R667">
        <f>Source!X406</f>
        <v>516.35</v>
      </c>
      <c r="S667">
        <f>ROUND((Source!CA406/100)*ROUND((Source!AF406*Source!AV406)*Source!I406, 2), 2)</f>
        <v>73.760000000000005</v>
      </c>
      <c r="T667">
        <f>Source!Y406</f>
        <v>73.760000000000005</v>
      </c>
      <c r="U667">
        <f>ROUND((175/100)*ROUND((Source!AE406*Source!AV406)*Source!I406, 2), 2)</f>
        <v>212.22</v>
      </c>
      <c r="V667">
        <f>ROUND((108/100)*ROUND(Source!CS406*Source!I406, 2), 2)</f>
        <v>130.97</v>
      </c>
    </row>
    <row r="668" spans="1:22" ht="14.25" x14ac:dyDescent="0.2">
      <c r="A668" s="18"/>
      <c r="B668" s="18"/>
      <c r="C668" s="18" t="s">
        <v>641</v>
      </c>
      <c r="D668" s="19"/>
      <c r="E668" s="9"/>
      <c r="F668" s="21">
        <f>Source!AO406</f>
        <v>737.64</v>
      </c>
      <c r="G668" s="20" t="str">
        <f>Source!DG406</f>
        <v/>
      </c>
      <c r="H668" s="9">
        <f>Source!AV406</f>
        <v>1</v>
      </c>
      <c r="I668" s="9">
        <f>IF(Source!BA406&lt;&gt; 0, Source!BA406, 1)</f>
        <v>1</v>
      </c>
      <c r="J668" s="21">
        <f>Source!S406</f>
        <v>737.64</v>
      </c>
      <c r="K668" s="21"/>
    </row>
    <row r="669" spans="1:22" ht="14.25" x14ac:dyDescent="0.2">
      <c r="A669" s="18"/>
      <c r="B669" s="18"/>
      <c r="C669" s="18" t="s">
        <v>647</v>
      </c>
      <c r="D669" s="19"/>
      <c r="E669" s="9"/>
      <c r="F669" s="21">
        <f>Source!AM406</f>
        <v>223.57</v>
      </c>
      <c r="G669" s="20" t="str">
        <f>Source!DE406</f>
        <v/>
      </c>
      <c r="H669" s="9">
        <f>Source!AV406</f>
        <v>1</v>
      </c>
      <c r="I669" s="9">
        <f>IF(Source!BB406&lt;&gt; 0, Source!BB406, 1)</f>
        <v>1</v>
      </c>
      <c r="J669" s="21">
        <f>Source!Q406</f>
        <v>223.57</v>
      </c>
      <c r="K669" s="21"/>
    </row>
    <row r="670" spans="1:22" ht="14.25" x14ac:dyDescent="0.2">
      <c r="A670" s="18"/>
      <c r="B670" s="18"/>
      <c r="C670" s="18" t="s">
        <v>648</v>
      </c>
      <c r="D670" s="19"/>
      <c r="E670" s="9"/>
      <c r="F670" s="21">
        <f>Source!AN406</f>
        <v>121.27</v>
      </c>
      <c r="G670" s="20" t="str">
        <f>Source!DF406</f>
        <v/>
      </c>
      <c r="H670" s="9">
        <f>Source!AV406</f>
        <v>1</v>
      </c>
      <c r="I670" s="9">
        <f>IF(Source!BS406&lt;&gt; 0, Source!BS406, 1)</f>
        <v>1</v>
      </c>
      <c r="J670" s="26">
        <f>Source!R406</f>
        <v>121.27</v>
      </c>
      <c r="K670" s="21"/>
    </row>
    <row r="671" spans="1:22" ht="14.25" x14ac:dyDescent="0.2">
      <c r="A671" s="18"/>
      <c r="B671" s="18"/>
      <c r="C671" s="18" t="s">
        <v>649</v>
      </c>
      <c r="D671" s="19"/>
      <c r="E671" s="9"/>
      <c r="F671" s="21">
        <f>Source!AL406</f>
        <v>0.69</v>
      </c>
      <c r="G671" s="20" t="str">
        <f>Source!DD406</f>
        <v/>
      </c>
      <c r="H671" s="9">
        <f>Source!AW406</f>
        <v>1</v>
      </c>
      <c r="I671" s="9">
        <f>IF(Source!BC406&lt;&gt; 0, Source!BC406, 1)</f>
        <v>1</v>
      </c>
      <c r="J671" s="21">
        <f>Source!P406</f>
        <v>0.69</v>
      </c>
      <c r="K671" s="21"/>
    </row>
    <row r="672" spans="1:22" ht="14.25" x14ac:dyDescent="0.2">
      <c r="A672" s="18"/>
      <c r="B672" s="18"/>
      <c r="C672" s="18" t="s">
        <v>642</v>
      </c>
      <c r="D672" s="19" t="s">
        <v>643</v>
      </c>
      <c r="E672" s="9">
        <f>Source!AT406</f>
        <v>70</v>
      </c>
      <c r="F672" s="21"/>
      <c r="G672" s="20"/>
      <c r="H672" s="9"/>
      <c r="I672" s="9"/>
      <c r="J672" s="21">
        <f>SUM(R667:R671)</f>
        <v>516.35</v>
      </c>
      <c r="K672" s="21"/>
    </row>
    <row r="673" spans="1:22" ht="14.25" x14ac:dyDescent="0.2">
      <c r="A673" s="18"/>
      <c r="B673" s="18"/>
      <c r="C673" s="18" t="s">
        <v>644</v>
      </c>
      <c r="D673" s="19" t="s">
        <v>643</v>
      </c>
      <c r="E673" s="9">
        <f>Source!AU406</f>
        <v>10</v>
      </c>
      <c r="F673" s="21"/>
      <c r="G673" s="20"/>
      <c r="H673" s="9"/>
      <c r="I673" s="9"/>
      <c r="J673" s="21">
        <f>SUM(T667:T672)</f>
        <v>73.760000000000005</v>
      </c>
      <c r="K673" s="21"/>
    </row>
    <row r="674" spans="1:22" ht="14.25" x14ac:dyDescent="0.2">
      <c r="A674" s="18"/>
      <c r="B674" s="18"/>
      <c r="C674" s="18" t="s">
        <v>650</v>
      </c>
      <c r="D674" s="19" t="s">
        <v>643</v>
      </c>
      <c r="E674" s="9">
        <f>108</f>
        <v>108</v>
      </c>
      <c r="F674" s="21"/>
      <c r="G674" s="20"/>
      <c r="H674" s="9"/>
      <c r="I674" s="9"/>
      <c r="J674" s="21">
        <f>SUM(V667:V673)</f>
        <v>130.97</v>
      </c>
      <c r="K674" s="21"/>
    </row>
    <row r="675" spans="1:22" ht="14.25" x14ac:dyDescent="0.2">
      <c r="A675" s="18"/>
      <c r="B675" s="18"/>
      <c r="C675" s="18" t="s">
        <v>645</v>
      </c>
      <c r="D675" s="19" t="s">
        <v>646</v>
      </c>
      <c r="E675" s="9">
        <f>Source!AQ406</f>
        <v>1.21</v>
      </c>
      <c r="F675" s="21"/>
      <c r="G675" s="20" t="str">
        <f>Source!DI406</f>
        <v/>
      </c>
      <c r="H675" s="9">
        <f>Source!AV406</f>
        <v>1</v>
      </c>
      <c r="I675" s="9"/>
      <c r="J675" s="21"/>
      <c r="K675" s="21">
        <f>Source!U406</f>
        <v>1.21</v>
      </c>
    </row>
    <row r="676" spans="1:22" ht="15" x14ac:dyDescent="0.25">
      <c r="A676" s="24"/>
      <c r="B676" s="24"/>
      <c r="C676" s="24"/>
      <c r="D676" s="24"/>
      <c r="E676" s="24"/>
      <c r="F676" s="24"/>
      <c r="G676" s="24"/>
      <c r="H676" s="24"/>
      <c r="I676" s="38">
        <f>J668+J669+J671+J672+J673+J674</f>
        <v>1682.98</v>
      </c>
      <c r="J676" s="38"/>
      <c r="K676" s="25">
        <f>IF(Source!I406&lt;&gt;0, ROUND(I676/Source!I406, 2), 0)</f>
        <v>1682.98</v>
      </c>
      <c r="P676" s="23">
        <f>I676</f>
        <v>1682.98</v>
      </c>
    </row>
    <row r="677" spans="1:22" ht="28.5" x14ac:dyDescent="0.2">
      <c r="A677" s="18">
        <v>22</v>
      </c>
      <c r="B677" s="18" t="str">
        <f>Source!F407</f>
        <v>3.1-2201-11-1/1</v>
      </c>
      <c r="C677" s="18" t="str">
        <f>Source!G407</f>
        <v>Технический осмотр коммутатора 8-зонного "RU8020" / (прим)</v>
      </c>
      <c r="D677" s="19" t="str">
        <f>Source!H407</f>
        <v>шт.</v>
      </c>
      <c r="E677" s="9">
        <f>Source!I407</f>
        <v>1</v>
      </c>
      <c r="F677" s="21"/>
      <c r="G677" s="20"/>
      <c r="H677" s="9"/>
      <c r="I677" s="9"/>
      <c r="J677" s="21"/>
      <c r="K677" s="21"/>
      <c r="Q677">
        <f>ROUND((Source!BZ407/100)*ROUND((Source!AF407*Source!AV407)*Source!I407, 2), 2)</f>
        <v>307.25</v>
      </c>
      <c r="R677">
        <f>Source!X407</f>
        <v>307.25</v>
      </c>
      <c r="S677">
        <f>ROUND((Source!CA407/100)*ROUND((Source!AF407*Source!AV407)*Source!I407, 2), 2)</f>
        <v>43.89</v>
      </c>
      <c r="T677">
        <f>Source!Y407</f>
        <v>43.89</v>
      </c>
      <c r="U677">
        <f>ROUND((175/100)*ROUND((Source!AE407*Source!AV407)*Source!I407, 2), 2)</f>
        <v>127.31</v>
      </c>
      <c r="V677">
        <f>ROUND((108/100)*ROUND(Source!CS407*Source!I407, 2), 2)</f>
        <v>78.569999999999993</v>
      </c>
    </row>
    <row r="678" spans="1:22" ht="14.25" x14ac:dyDescent="0.2">
      <c r="A678" s="18"/>
      <c r="B678" s="18"/>
      <c r="C678" s="18" t="s">
        <v>641</v>
      </c>
      <c r="D678" s="19"/>
      <c r="E678" s="9"/>
      <c r="F678" s="21">
        <f>Source!AO407</f>
        <v>146.31</v>
      </c>
      <c r="G678" s="20" t="str">
        <f>Source!DG407</f>
        <v>)*3</v>
      </c>
      <c r="H678" s="9">
        <f>Source!AV407</f>
        <v>1</v>
      </c>
      <c r="I678" s="9">
        <f>IF(Source!BA407&lt;&gt; 0, Source!BA407, 1)</f>
        <v>1</v>
      </c>
      <c r="J678" s="21">
        <f>Source!S407</f>
        <v>438.93</v>
      </c>
      <c r="K678" s="21"/>
    </row>
    <row r="679" spans="1:22" ht="14.25" x14ac:dyDescent="0.2">
      <c r="A679" s="18"/>
      <c r="B679" s="18"/>
      <c r="C679" s="18" t="s">
        <v>647</v>
      </c>
      <c r="D679" s="19"/>
      <c r="E679" s="9"/>
      <c r="F679" s="21">
        <f>Source!AM407</f>
        <v>44.71</v>
      </c>
      <c r="G679" s="20" t="str">
        <f>Source!DE407</f>
        <v>)*3</v>
      </c>
      <c r="H679" s="9">
        <f>Source!AV407</f>
        <v>1</v>
      </c>
      <c r="I679" s="9">
        <f>IF(Source!BB407&lt;&gt; 0, Source!BB407, 1)</f>
        <v>1</v>
      </c>
      <c r="J679" s="21">
        <f>Source!Q407</f>
        <v>134.13</v>
      </c>
      <c r="K679" s="21"/>
    </row>
    <row r="680" spans="1:22" ht="14.25" x14ac:dyDescent="0.2">
      <c r="A680" s="18"/>
      <c r="B680" s="18"/>
      <c r="C680" s="18" t="s">
        <v>648</v>
      </c>
      <c r="D680" s="19"/>
      <c r="E680" s="9"/>
      <c r="F680" s="21">
        <f>Source!AN407</f>
        <v>24.25</v>
      </c>
      <c r="G680" s="20" t="str">
        <f>Source!DF407</f>
        <v>)*3</v>
      </c>
      <c r="H680" s="9">
        <f>Source!AV407</f>
        <v>1</v>
      </c>
      <c r="I680" s="9">
        <f>IF(Source!BS407&lt;&gt; 0, Source!BS407, 1)</f>
        <v>1</v>
      </c>
      <c r="J680" s="26">
        <f>Source!R407</f>
        <v>72.75</v>
      </c>
      <c r="K680" s="21"/>
    </row>
    <row r="681" spans="1:22" ht="14.25" x14ac:dyDescent="0.2">
      <c r="A681" s="18"/>
      <c r="B681" s="18"/>
      <c r="C681" s="18" t="s">
        <v>649</v>
      </c>
      <c r="D681" s="19"/>
      <c r="E681" s="9"/>
      <c r="F681" s="21">
        <f>Source!AL407</f>
        <v>0.69</v>
      </c>
      <c r="G681" s="20" t="str">
        <f>Source!DD407</f>
        <v>)*3</v>
      </c>
      <c r="H681" s="9">
        <f>Source!AW407</f>
        <v>1</v>
      </c>
      <c r="I681" s="9">
        <f>IF(Source!BC407&lt;&gt; 0, Source!BC407, 1)</f>
        <v>1</v>
      </c>
      <c r="J681" s="21">
        <f>Source!P407</f>
        <v>2.0699999999999998</v>
      </c>
      <c r="K681" s="21"/>
    </row>
    <row r="682" spans="1:22" ht="14.25" x14ac:dyDescent="0.2">
      <c r="A682" s="18"/>
      <c r="B682" s="18"/>
      <c r="C682" s="18" t="s">
        <v>642</v>
      </c>
      <c r="D682" s="19" t="s">
        <v>643</v>
      </c>
      <c r="E682" s="9">
        <f>Source!AT407</f>
        <v>70</v>
      </c>
      <c r="F682" s="21"/>
      <c r="G682" s="20"/>
      <c r="H682" s="9"/>
      <c r="I682" s="9"/>
      <c r="J682" s="21">
        <f>SUM(R677:R681)</f>
        <v>307.25</v>
      </c>
      <c r="K682" s="21"/>
    </row>
    <row r="683" spans="1:22" ht="14.25" x14ac:dyDescent="0.2">
      <c r="A683" s="18"/>
      <c r="B683" s="18"/>
      <c r="C683" s="18" t="s">
        <v>644</v>
      </c>
      <c r="D683" s="19" t="s">
        <v>643</v>
      </c>
      <c r="E683" s="9">
        <f>Source!AU407</f>
        <v>10</v>
      </c>
      <c r="F683" s="21"/>
      <c r="G683" s="20"/>
      <c r="H683" s="9"/>
      <c r="I683" s="9"/>
      <c r="J683" s="21">
        <f>SUM(T677:T682)</f>
        <v>43.89</v>
      </c>
      <c r="K683" s="21"/>
    </row>
    <row r="684" spans="1:22" ht="14.25" x14ac:dyDescent="0.2">
      <c r="A684" s="18"/>
      <c r="B684" s="18"/>
      <c r="C684" s="18" t="s">
        <v>650</v>
      </c>
      <c r="D684" s="19" t="s">
        <v>643</v>
      </c>
      <c r="E684" s="9">
        <f>108</f>
        <v>108</v>
      </c>
      <c r="F684" s="21"/>
      <c r="G684" s="20"/>
      <c r="H684" s="9"/>
      <c r="I684" s="9"/>
      <c r="J684" s="21">
        <f>SUM(V677:V683)</f>
        <v>78.569999999999993</v>
      </c>
      <c r="K684" s="21"/>
    </row>
    <row r="685" spans="1:22" ht="14.25" x14ac:dyDescent="0.2">
      <c r="A685" s="18"/>
      <c r="B685" s="18"/>
      <c r="C685" s="18" t="s">
        <v>645</v>
      </c>
      <c r="D685" s="19" t="s">
        <v>646</v>
      </c>
      <c r="E685" s="9">
        <f>Source!AQ407</f>
        <v>0.24</v>
      </c>
      <c r="F685" s="21"/>
      <c r="G685" s="20" t="str">
        <f>Source!DI407</f>
        <v>)*3</v>
      </c>
      <c r="H685" s="9">
        <f>Source!AV407</f>
        <v>1</v>
      </c>
      <c r="I685" s="9"/>
      <c r="J685" s="21"/>
      <c r="K685" s="21">
        <f>Source!U407</f>
        <v>0.72</v>
      </c>
    </row>
    <row r="686" spans="1:22" ht="15" x14ac:dyDescent="0.25">
      <c r="A686" s="24"/>
      <c r="B686" s="24"/>
      <c r="C686" s="24"/>
      <c r="D686" s="24"/>
      <c r="E686" s="24"/>
      <c r="F686" s="24"/>
      <c r="G686" s="24"/>
      <c r="H686" s="24"/>
      <c r="I686" s="38">
        <f>J678+J679+J681+J682+J683+J684</f>
        <v>1004.8399999999999</v>
      </c>
      <c r="J686" s="38"/>
      <c r="K686" s="25">
        <f>IF(Source!I407&lt;&gt;0, ROUND(I686/Source!I407, 2), 0)</f>
        <v>1004.84</v>
      </c>
      <c r="P686" s="23">
        <f>I686</f>
        <v>1004.8399999999999</v>
      </c>
    </row>
    <row r="687" spans="1:22" ht="42.75" x14ac:dyDescent="0.2">
      <c r="A687" s="18">
        <v>23</v>
      </c>
      <c r="B687" s="18" t="str">
        <f>Source!F408</f>
        <v>1.21-2203-20-5/1</v>
      </c>
      <c r="C687" s="18" t="str">
        <f>Source!G408</f>
        <v>Техническое обслуживание силовых преобразователей, преобразователь частоты</v>
      </c>
      <c r="D687" s="19" t="str">
        <f>Source!H408</f>
        <v>шт.</v>
      </c>
      <c r="E687" s="9">
        <f>Source!I408</f>
        <v>4</v>
      </c>
      <c r="F687" s="21"/>
      <c r="G687" s="20"/>
      <c r="H687" s="9"/>
      <c r="I687" s="9"/>
      <c r="J687" s="21"/>
      <c r="K687" s="21"/>
      <c r="Q687">
        <f>ROUND((Source!BZ408/100)*ROUND((Source!AF408*Source!AV408)*Source!I408, 2), 2)</f>
        <v>54705.22</v>
      </c>
      <c r="R687">
        <f>Source!X408</f>
        <v>54705.22</v>
      </c>
      <c r="S687">
        <f>ROUND((Source!CA408/100)*ROUND((Source!AF408*Source!AV408)*Source!I408, 2), 2)</f>
        <v>7815.03</v>
      </c>
      <c r="T687">
        <f>Source!Y408</f>
        <v>7815.03</v>
      </c>
      <c r="U687">
        <f>ROUND((175/100)*ROUND((Source!AE408*Source!AV408)*Source!I408, 2), 2)</f>
        <v>0</v>
      </c>
      <c r="V687">
        <f>ROUND((108/100)*ROUND(Source!CS408*Source!I408, 2), 2)</f>
        <v>0</v>
      </c>
    </row>
    <row r="688" spans="1:22" ht="14.25" x14ac:dyDescent="0.2">
      <c r="A688" s="18"/>
      <c r="B688" s="18"/>
      <c r="C688" s="18" t="s">
        <v>641</v>
      </c>
      <c r="D688" s="19"/>
      <c r="E688" s="9"/>
      <c r="F688" s="21">
        <f>Source!AO408</f>
        <v>9768.7900000000009</v>
      </c>
      <c r="G688" s="20" t="str">
        <f>Source!DG408</f>
        <v>)*2</v>
      </c>
      <c r="H688" s="9">
        <f>Source!AV408</f>
        <v>1</v>
      </c>
      <c r="I688" s="9">
        <f>IF(Source!BA408&lt;&gt; 0, Source!BA408, 1)</f>
        <v>1</v>
      </c>
      <c r="J688" s="21">
        <f>Source!S408</f>
        <v>78150.320000000007</v>
      </c>
      <c r="K688" s="21"/>
    </row>
    <row r="689" spans="1:22" ht="14.25" x14ac:dyDescent="0.2">
      <c r="A689" s="18"/>
      <c r="B689" s="18"/>
      <c r="C689" s="18" t="s">
        <v>642</v>
      </c>
      <c r="D689" s="19" t="s">
        <v>643</v>
      </c>
      <c r="E689" s="9">
        <f>Source!AT408</f>
        <v>70</v>
      </c>
      <c r="F689" s="21"/>
      <c r="G689" s="20"/>
      <c r="H689" s="9"/>
      <c r="I689" s="9"/>
      <c r="J689" s="21">
        <f>SUM(R687:R688)</f>
        <v>54705.22</v>
      </c>
      <c r="K689" s="21"/>
    </row>
    <row r="690" spans="1:22" ht="14.25" x14ac:dyDescent="0.2">
      <c r="A690" s="18"/>
      <c r="B690" s="18"/>
      <c r="C690" s="18" t="s">
        <v>644</v>
      </c>
      <c r="D690" s="19" t="s">
        <v>643</v>
      </c>
      <c r="E690" s="9">
        <f>Source!AU408</f>
        <v>10</v>
      </c>
      <c r="F690" s="21"/>
      <c r="G690" s="20"/>
      <c r="H690" s="9"/>
      <c r="I690" s="9"/>
      <c r="J690" s="21">
        <f>SUM(T687:T689)</f>
        <v>7815.03</v>
      </c>
      <c r="K690" s="21"/>
    </row>
    <row r="691" spans="1:22" ht="14.25" x14ac:dyDescent="0.2">
      <c r="A691" s="18"/>
      <c r="B691" s="18"/>
      <c r="C691" s="18" t="s">
        <v>645</v>
      </c>
      <c r="D691" s="19" t="s">
        <v>646</v>
      </c>
      <c r="E691" s="9">
        <f>Source!AQ408</f>
        <v>13.71</v>
      </c>
      <c r="F691" s="21"/>
      <c r="G691" s="20" t="str">
        <f>Source!DI408</f>
        <v>)*2</v>
      </c>
      <c r="H691" s="9">
        <f>Source!AV408</f>
        <v>1</v>
      </c>
      <c r="I691" s="9"/>
      <c r="J691" s="21"/>
      <c r="K691" s="21">
        <f>Source!U408</f>
        <v>109.68</v>
      </c>
    </row>
    <row r="692" spans="1:22" ht="15" x14ac:dyDescent="0.25">
      <c r="A692" s="24"/>
      <c r="B692" s="24"/>
      <c r="C692" s="24"/>
      <c r="D692" s="24"/>
      <c r="E692" s="24"/>
      <c r="F692" s="24"/>
      <c r="G692" s="24"/>
      <c r="H692" s="24"/>
      <c r="I692" s="38">
        <f>J688+J689+J690</f>
        <v>140670.57</v>
      </c>
      <c r="J692" s="38"/>
      <c r="K692" s="25">
        <f>IF(Source!I408&lt;&gt;0, ROUND(I692/Source!I408, 2), 0)</f>
        <v>35167.64</v>
      </c>
      <c r="P692" s="23">
        <f>I692</f>
        <v>140670.57</v>
      </c>
    </row>
    <row r="693" spans="1:22" ht="57" x14ac:dyDescent="0.2">
      <c r="A693" s="18">
        <v>24</v>
      </c>
      <c r="B693" s="18" t="str">
        <f>Source!F409</f>
        <v>1.23-2303-6-1/1</v>
      </c>
      <c r="C693" s="18" t="str">
        <f>Source!G409</f>
        <v>Техническое обслуживание термопреобразователя сопротивления с унифицированным выходным сигналом</v>
      </c>
      <c r="D693" s="19" t="str">
        <f>Source!H409</f>
        <v>шт.</v>
      </c>
      <c r="E693" s="9">
        <f>Source!I409</f>
        <v>7</v>
      </c>
      <c r="F693" s="21"/>
      <c r="G693" s="20"/>
      <c r="H693" s="9"/>
      <c r="I693" s="9"/>
      <c r="J693" s="21"/>
      <c r="K693" s="21"/>
      <c r="Q693">
        <f>ROUND((Source!BZ409/100)*ROUND((Source!AF409*Source!AV409)*Source!I409, 2), 2)</f>
        <v>2807.9</v>
      </c>
      <c r="R693">
        <f>Source!X409</f>
        <v>2807.9</v>
      </c>
      <c r="S693">
        <f>ROUND((Source!CA409/100)*ROUND((Source!AF409*Source!AV409)*Source!I409, 2), 2)</f>
        <v>401.13</v>
      </c>
      <c r="T693">
        <f>Source!Y409</f>
        <v>401.13</v>
      </c>
      <c r="U693">
        <f>ROUND((175/100)*ROUND((Source!AE409*Source!AV409)*Source!I409, 2), 2)</f>
        <v>0</v>
      </c>
      <c r="V693">
        <f>ROUND((108/100)*ROUND(Source!CS409*Source!I409, 2), 2)</f>
        <v>0</v>
      </c>
    </row>
    <row r="694" spans="1:22" ht="14.25" x14ac:dyDescent="0.2">
      <c r="A694" s="18"/>
      <c r="B694" s="18"/>
      <c r="C694" s="18" t="s">
        <v>641</v>
      </c>
      <c r="D694" s="19"/>
      <c r="E694" s="9"/>
      <c r="F694" s="21">
        <f>Source!AO409</f>
        <v>286.52</v>
      </c>
      <c r="G694" s="20" t="str">
        <f>Source!DG409</f>
        <v>)*2</v>
      </c>
      <c r="H694" s="9">
        <f>Source!AV409</f>
        <v>1</v>
      </c>
      <c r="I694" s="9">
        <f>IF(Source!BA409&lt;&gt; 0, Source!BA409, 1)</f>
        <v>1</v>
      </c>
      <c r="J694" s="21">
        <f>Source!S409</f>
        <v>4011.28</v>
      </c>
      <c r="K694" s="21"/>
    </row>
    <row r="695" spans="1:22" ht="14.25" x14ac:dyDescent="0.2">
      <c r="A695" s="18"/>
      <c r="B695" s="18"/>
      <c r="C695" s="18" t="s">
        <v>649</v>
      </c>
      <c r="D695" s="19"/>
      <c r="E695" s="9"/>
      <c r="F695" s="21">
        <f>Source!AL409</f>
        <v>16.28</v>
      </c>
      <c r="G695" s="20" t="str">
        <f>Source!DD409</f>
        <v>)*2</v>
      </c>
      <c r="H695" s="9">
        <f>Source!AW409</f>
        <v>1</v>
      </c>
      <c r="I695" s="9">
        <f>IF(Source!BC409&lt;&gt; 0, Source!BC409, 1)</f>
        <v>1</v>
      </c>
      <c r="J695" s="21">
        <f>Source!P409</f>
        <v>227.92</v>
      </c>
      <c r="K695" s="21"/>
    </row>
    <row r="696" spans="1:22" ht="14.25" x14ac:dyDescent="0.2">
      <c r="A696" s="18"/>
      <c r="B696" s="18"/>
      <c r="C696" s="18" t="s">
        <v>642</v>
      </c>
      <c r="D696" s="19" t="s">
        <v>643</v>
      </c>
      <c r="E696" s="9">
        <f>Source!AT409</f>
        <v>70</v>
      </c>
      <c r="F696" s="21"/>
      <c r="G696" s="20"/>
      <c r="H696" s="9"/>
      <c r="I696" s="9"/>
      <c r="J696" s="21">
        <f>SUM(R693:R695)</f>
        <v>2807.9</v>
      </c>
      <c r="K696" s="21"/>
    </row>
    <row r="697" spans="1:22" ht="14.25" x14ac:dyDescent="0.2">
      <c r="A697" s="18"/>
      <c r="B697" s="18"/>
      <c r="C697" s="18" t="s">
        <v>644</v>
      </c>
      <c r="D697" s="19" t="s">
        <v>643</v>
      </c>
      <c r="E697" s="9">
        <f>Source!AU409</f>
        <v>10</v>
      </c>
      <c r="F697" s="21"/>
      <c r="G697" s="20"/>
      <c r="H697" s="9"/>
      <c r="I697" s="9"/>
      <c r="J697" s="21">
        <f>SUM(T693:T696)</f>
        <v>401.13</v>
      </c>
      <c r="K697" s="21"/>
    </row>
    <row r="698" spans="1:22" ht="14.25" x14ac:dyDescent="0.2">
      <c r="A698" s="18"/>
      <c r="B698" s="18"/>
      <c r="C698" s="18" t="s">
        <v>645</v>
      </c>
      <c r="D698" s="19" t="s">
        <v>646</v>
      </c>
      <c r="E698" s="9">
        <f>Source!AQ409</f>
        <v>0.47</v>
      </c>
      <c r="F698" s="21"/>
      <c r="G698" s="20" t="str">
        <f>Source!DI409</f>
        <v>)*2</v>
      </c>
      <c r="H698" s="9">
        <f>Source!AV409</f>
        <v>1</v>
      </c>
      <c r="I698" s="9"/>
      <c r="J698" s="21"/>
      <c r="K698" s="21">
        <f>Source!U409</f>
        <v>6.58</v>
      </c>
    </row>
    <row r="699" spans="1:22" ht="15" x14ac:dyDescent="0.25">
      <c r="A699" s="24"/>
      <c r="B699" s="24"/>
      <c r="C699" s="24"/>
      <c r="D699" s="24"/>
      <c r="E699" s="24"/>
      <c r="F699" s="24"/>
      <c r="G699" s="24"/>
      <c r="H699" s="24"/>
      <c r="I699" s="38">
        <f>J694+J695+J696+J697</f>
        <v>7448.2300000000005</v>
      </c>
      <c r="J699" s="38"/>
      <c r="K699" s="25">
        <f>IF(Source!I409&lt;&gt;0, ROUND(I699/Source!I409, 2), 0)</f>
        <v>1064.03</v>
      </c>
      <c r="P699" s="23">
        <f>I699</f>
        <v>7448.2300000000005</v>
      </c>
    </row>
    <row r="700" spans="1:22" ht="42.75" x14ac:dyDescent="0.2">
      <c r="A700" s="18">
        <v>25</v>
      </c>
      <c r="B700" s="18" t="str">
        <f>Source!F410</f>
        <v>1.23-2103-27-1/1</v>
      </c>
      <c r="C700" s="18" t="str">
        <f>Source!G410</f>
        <v>Техническое обслуживание преобразователя давления МТ100 и аналогов</v>
      </c>
      <c r="D700" s="19" t="str">
        <f>Source!H410</f>
        <v>10 шт.</v>
      </c>
      <c r="E700" s="9">
        <f>Source!I410</f>
        <v>0.6</v>
      </c>
      <c r="F700" s="21"/>
      <c r="G700" s="20"/>
      <c r="H700" s="9"/>
      <c r="I700" s="9"/>
      <c r="J700" s="21"/>
      <c r="K700" s="21"/>
      <c r="Q700">
        <f>ROUND((Source!BZ410/100)*ROUND((Source!AF410*Source!AV410)*Source!I410, 2), 2)</f>
        <v>6401.01</v>
      </c>
      <c r="R700">
        <f>Source!X410</f>
        <v>6401.01</v>
      </c>
      <c r="S700">
        <f>ROUND((Source!CA410/100)*ROUND((Source!AF410*Source!AV410)*Source!I410, 2), 2)</f>
        <v>914.43</v>
      </c>
      <c r="T700">
        <f>Source!Y410</f>
        <v>914.43</v>
      </c>
      <c r="U700">
        <f>ROUND((175/100)*ROUND((Source!AE410*Source!AV410)*Source!I410, 2), 2)</f>
        <v>0</v>
      </c>
      <c r="V700">
        <f>ROUND((108/100)*ROUND(Source!CS410*Source!I410, 2), 2)</f>
        <v>0</v>
      </c>
    </row>
    <row r="701" spans="1:22" x14ac:dyDescent="0.2">
      <c r="C701" s="22" t="str">
        <f>"Объем: "&amp;Source!I410&amp;"=6/"&amp;"10"</f>
        <v>Объем: 0,6=6/10</v>
      </c>
    </row>
    <row r="702" spans="1:22" ht="14.25" x14ac:dyDescent="0.2">
      <c r="A702" s="18"/>
      <c r="B702" s="18"/>
      <c r="C702" s="18" t="s">
        <v>641</v>
      </c>
      <c r="D702" s="19"/>
      <c r="E702" s="9"/>
      <c r="F702" s="21">
        <f>Source!AO410</f>
        <v>7620.25</v>
      </c>
      <c r="G702" s="20" t="str">
        <f>Source!DG410</f>
        <v>)*2</v>
      </c>
      <c r="H702" s="9">
        <f>Source!AV410</f>
        <v>1</v>
      </c>
      <c r="I702" s="9">
        <f>IF(Source!BA410&lt;&gt; 0, Source!BA410, 1)</f>
        <v>1</v>
      </c>
      <c r="J702" s="21">
        <f>Source!S410</f>
        <v>9144.2999999999993</v>
      </c>
      <c r="K702" s="21"/>
    </row>
    <row r="703" spans="1:22" ht="14.25" x14ac:dyDescent="0.2">
      <c r="A703" s="18"/>
      <c r="B703" s="18"/>
      <c r="C703" s="18" t="s">
        <v>649</v>
      </c>
      <c r="D703" s="19"/>
      <c r="E703" s="9"/>
      <c r="F703" s="21">
        <f>Source!AL410</f>
        <v>15.53</v>
      </c>
      <c r="G703" s="20" t="str">
        <f>Source!DD410</f>
        <v>)*2</v>
      </c>
      <c r="H703" s="9">
        <f>Source!AW410</f>
        <v>1</v>
      </c>
      <c r="I703" s="9">
        <f>IF(Source!BC410&lt;&gt; 0, Source!BC410, 1)</f>
        <v>1</v>
      </c>
      <c r="J703" s="21">
        <f>Source!P410</f>
        <v>18.64</v>
      </c>
      <c r="K703" s="21"/>
    </row>
    <row r="704" spans="1:22" ht="14.25" x14ac:dyDescent="0.2">
      <c r="A704" s="18"/>
      <c r="B704" s="18"/>
      <c r="C704" s="18" t="s">
        <v>642</v>
      </c>
      <c r="D704" s="19" t="s">
        <v>643</v>
      </c>
      <c r="E704" s="9">
        <f>Source!AT410</f>
        <v>70</v>
      </c>
      <c r="F704" s="21"/>
      <c r="G704" s="20"/>
      <c r="H704" s="9"/>
      <c r="I704" s="9"/>
      <c r="J704" s="21">
        <f>SUM(R700:R703)</f>
        <v>6401.01</v>
      </c>
      <c r="K704" s="21"/>
    </row>
    <row r="705" spans="1:22" ht="14.25" x14ac:dyDescent="0.2">
      <c r="A705" s="18"/>
      <c r="B705" s="18"/>
      <c r="C705" s="18" t="s">
        <v>644</v>
      </c>
      <c r="D705" s="19" t="s">
        <v>643</v>
      </c>
      <c r="E705" s="9">
        <f>Source!AU410</f>
        <v>10</v>
      </c>
      <c r="F705" s="21"/>
      <c r="G705" s="20"/>
      <c r="H705" s="9"/>
      <c r="I705" s="9"/>
      <c r="J705" s="21">
        <f>SUM(T700:T704)</f>
        <v>914.43</v>
      </c>
      <c r="K705" s="21"/>
    </row>
    <row r="706" spans="1:22" ht="14.25" x14ac:dyDescent="0.2">
      <c r="A706" s="18"/>
      <c r="B706" s="18"/>
      <c r="C706" s="18" t="s">
        <v>645</v>
      </c>
      <c r="D706" s="19" t="s">
        <v>646</v>
      </c>
      <c r="E706" s="9">
        <f>Source!AQ410</f>
        <v>12.5</v>
      </c>
      <c r="F706" s="21"/>
      <c r="G706" s="20" t="str">
        <f>Source!DI410</f>
        <v>)*2</v>
      </c>
      <c r="H706" s="9">
        <f>Source!AV410</f>
        <v>1</v>
      </c>
      <c r="I706" s="9"/>
      <c r="J706" s="21"/>
      <c r="K706" s="21">
        <f>Source!U410</f>
        <v>15</v>
      </c>
    </row>
    <row r="707" spans="1:22" ht="15" x14ac:dyDescent="0.25">
      <c r="A707" s="24"/>
      <c r="B707" s="24"/>
      <c r="C707" s="24"/>
      <c r="D707" s="24"/>
      <c r="E707" s="24"/>
      <c r="F707" s="24"/>
      <c r="G707" s="24"/>
      <c r="H707" s="24"/>
      <c r="I707" s="38">
        <f>J702+J703+J704+J705</f>
        <v>16478.379999999997</v>
      </c>
      <c r="J707" s="38"/>
      <c r="K707" s="25">
        <f>IF(Source!I410&lt;&gt;0, ROUND(I707/Source!I410, 2), 0)</f>
        <v>27463.97</v>
      </c>
      <c r="P707" s="23">
        <f>I707</f>
        <v>16478.379999999997</v>
      </c>
    </row>
    <row r="708" spans="1:22" ht="28.5" x14ac:dyDescent="0.2">
      <c r="A708" s="18">
        <v>26</v>
      </c>
      <c r="B708" s="18" t="str">
        <f>Source!F411</f>
        <v>1.23-2303-19-1/1</v>
      </c>
      <c r="C708" s="18" t="str">
        <f>Source!G411</f>
        <v>Техническое обслуживание шкафа блока автоматики  ЩАИТП</v>
      </c>
      <c r="D708" s="19" t="str">
        <f>Source!H411</f>
        <v>шт.</v>
      </c>
      <c r="E708" s="9">
        <f>Source!I411</f>
        <v>2</v>
      </c>
      <c r="F708" s="21"/>
      <c r="G708" s="20"/>
      <c r="H708" s="9"/>
      <c r="I708" s="9"/>
      <c r="J708" s="21"/>
      <c r="K708" s="21"/>
      <c r="Q708">
        <f>ROUND((Source!BZ411/100)*ROUND((Source!AF411*Source!AV411)*Source!I411, 2), 2)</f>
        <v>731.47</v>
      </c>
      <c r="R708">
        <f>Source!X411</f>
        <v>731.47</v>
      </c>
      <c r="S708">
        <f>ROUND((Source!CA411/100)*ROUND((Source!AF411*Source!AV411)*Source!I411, 2), 2)</f>
        <v>104.5</v>
      </c>
      <c r="T708">
        <f>Source!Y411</f>
        <v>104.5</v>
      </c>
      <c r="U708">
        <f>ROUND((175/100)*ROUND((Source!AE411*Source!AV411)*Source!I411, 2), 2)</f>
        <v>0</v>
      </c>
      <c r="V708">
        <f>ROUND((108/100)*ROUND(Source!CS411*Source!I411, 2), 2)</f>
        <v>0</v>
      </c>
    </row>
    <row r="709" spans="1:22" ht="14.25" x14ac:dyDescent="0.2">
      <c r="A709" s="18"/>
      <c r="B709" s="18"/>
      <c r="C709" s="18" t="s">
        <v>641</v>
      </c>
      <c r="D709" s="19"/>
      <c r="E709" s="9"/>
      <c r="F709" s="21">
        <f>Source!AO411</f>
        <v>130.62</v>
      </c>
      <c r="G709" s="20" t="str">
        <f>Source!DG411</f>
        <v>)*4</v>
      </c>
      <c r="H709" s="9">
        <f>Source!AV411</f>
        <v>1</v>
      </c>
      <c r="I709" s="9">
        <f>IF(Source!BA411&lt;&gt; 0, Source!BA411, 1)</f>
        <v>1</v>
      </c>
      <c r="J709" s="21">
        <f>Source!S411</f>
        <v>1044.96</v>
      </c>
      <c r="K709" s="21"/>
    </row>
    <row r="710" spans="1:22" ht="14.25" x14ac:dyDescent="0.2">
      <c r="A710" s="18"/>
      <c r="B710" s="18"/>
      <c r="C710" s="18" t="s">
        <v>649</v>
      </c>
      <c r="D710" s="19"/>
      <c r="E710" s="9"/>
      <c r="F710" s="21">
        <f>Source!AL411</f>
        <v>0.01</v>
      </c>
      <c r="G710" s="20" t="str">
        <f>Source!DD411</f>
        <v>)*4</v>
      </c>
      <c r="H710" s="9">
        <f>Source!AW411</f>
        <v>1</v>
      </c>
      <c r="I710" s="9">
        <f>IF(Source!BC411&lt;&gt; 0, Source!BC411, 1)</f>
        <v>1</v>
      </c>
      <c r="J710" s="21">
        <f>Source!P411</f>
        <v>0.08</v>
      </c>
      <c r="K710" s="21"/>
    </row>
    <row r="711" spans="1:22" ht="14.25" x14ac:dyDescent="0.2">
      <c r="A711" s="18"/>
      <c r="B711" s="18"/>
      <c r="C711" s="18" t="s">
        <v>642</v>
      </c>
      <c r="D711" s="19" t="s">
        <v>643</v>
      </c>
      <c r="E711" s="9">
        <f>Source!AT411</f>
        <v>70</v>
      </c>
      <c r="F711" s="21"/>
      <c r="G711" s="20"/>
      <c r="H711" s="9"/>
      <c r="I711" s="9"/>
      <c r="J711" s="21">
        <f>SUM(R708:R710)</f>
        <v>731.47</v>
      </c>
      <c r="K711" s="21"/>
    </row>
    <row r="712" spans="1:22" ht="14.25" x14ac:dyDescent="0.2">
      <c r="A712" s="18"/>
      <c r="B712" s="18"/>
      <c r="C712" s="18" t="s">
        <v>644</v>
      </c>
      <c r="D712" s="19" t="s">
        <v>643</v>
      </c>
      <c r="E712" s="9">
        <f>Source!AU411</f>
        <v>10</v>
      </c>
      <c r="F712" s="21"/>
      <c r="G712" s="20"/>
      <c r="H712" s="9"/>
      <c r="I712" s="9"/>
      <c r="J712" s="21">
        <f>SUM(T708:T711)</f>
        <v>104.5</v>
      </c>
      <c r="K712" s="21"/>
    </row>
    <row r="713" spans="1:22" ht="14.25" x14ac:dyDescent="0.2">
      <c r="A713" s="18"/>
      <c r="B713" s="18"/>
      <c r="C713" s="18" t="s">
        <v>645</v>
      </c>
      <c r="D713" s="19" t="s">
        <v>646</v>
      </c>
      <c r="E713" s="9">
        <f>Source!AQ411</f>
        <v>0.3</v>
      </c>
      <c r="F713" s="21"/>
      <c r="G713" s="20" t="str">
        <f>Source!DI411</f>
        <v>)*4</v>
      </c>
      <c r="H713" s="9">
        <f>Source!AV411</f>
        <v>1</v>
      </c>
      <c r="I713" s="9"/>
      <c r="J713" s="21"/>
      <c r="K713" s="21">
        <f>Source!U411</f>
        <v>2.4</v>
      </c>
    </row>
    <row r="714" spans="1:22" ht="15" x14ac:dyDescent="0.25">
      <c r="A714" s="24"/>
      <c r="B714" s="24"/>
      <c r="C714" s="24"/>
      <c r="D714" s="24"/>
      <c r="E714" s="24"/>
      <c r="F714" s="24"/>
      <c r="G714" s="24"/>
      <c r="H714" s="24"/>
      <c r="I714" s="38">
        <f>J709+J710+J711+J712</f>
        <v>1881.01</v>
      </c>
      <c r="J714" s="38"/>
      <c r="K714" s="25">
        <f>IF(Source!I411&lt;&gt;0, ROUND(I714/Source!I411, 2), 0)</f>
        <v>940.51</v>
      </c>
      <c r="P714" s="23">
        <f>I714</f>
        <v>1881.01</v>
      </c>
    </row>
    <row r="716" spans="1:22" ht="15" x14ac:dyDescent="0.25">
      <c r="A716" s="36" t="str">
        <f>CONCATENATE("Итого по подразделу: ",IF(Source!G413&lt;&gt;"Новый подраздел", Source!G413, ""))</f>
        <v>Итого по подразделу: Автоматизация ИТП</v>
      </c>
      <c r="B716" s="36"/>
      <c r="C716" s="36"/>
      <c r="D716" s="36"/>
      <c r="E716" s="36"/>
      <c r="F716" s="36"/>
      <c r="G716" s="36"/>
      <c r="H716" s="36"/>
      <c r="I716" s="34">
        <f>SUM(P589:P715)</f>
        <v>211829.35000000003</v>
      </c>
      <c r="J716" s="35"/>
      <c r="K716" s="28"/>
    </row>
    <row r="719" spans="1:22" ht="15" x14ac:dyDescent="0.25">
      <c r="A719" s="36" t="str">
        <f>CONCATENATE("Итого по разделу: ",IF(Source!G443&lt;&gt;"Новый раздел", Source!G443, ""))</f>
        <v>Итого по разделу: ИТП</v>
      </c>
      <c r="B719" s="36"/>
      <c r="C719" s="36"/>
      <c r="D719" s="36"/>
      <c r="E719" s="36"/>
      <c r="F719" s="36"/>
      <c r="G719" s="36"/>
      <c r="H719" s="36"/>
      <c r="I719" s="34">
        <f>SUM(P515:P718)</f>
        <v>256284.70000000004</v>
      </c>
      <c r="J719" s="35"/>
      <c r="K719" s="28"/>
    </row>
    <row r="722" spans="1:22" ht="15" x14ac:dyDescent="0.25">
      <c r="A722" s="36" t="str">
        <f>CONCATENATE("Итого по локальной смете: ",IF(Source!G473&lt;&gt;"Новая локальная смета", Source!G473, ""))</f>
        <v>Итого по локальной смете: Техническое обслуживание инженерных систем ИТП</v>
      </c>
      <c r="B722" s="36"/>
      <c r="C722" s="36"/>
      <c r="D722" s="36"/>
      <c r="E722" s="36"/>
      <c r="F722" s="36"/>
      <c r="G722" s="36"/>
      <c r="H722" s="36"/>
      <c r="I722" s="34">
        <f>SUM(P513:P721)</f>
        <v>256284.70000000004</v>
      </c>
      <c r="J722" s="35"/>
      <c r="K722" s="28"/>
    </row>
    <row r="725" spans="1:22" ht="16.5" x14ac:dyDescent="0.25">
      <c r="A725" s="37" t="str">
        <f>CONCATENATE("Локальная смета: ",IF(Source!G503&lt;&gt;"Новая локальная смета", Source!G503, ""))</f>
        <v>Локальная смета: Техническое обслуживание вентиляции</v>
      </c>
      <c r="B725" s="37"/>
      <c r="C725" s="37"/>
      <c r="D725" s="37"/>
      <c r="E725" s="37"/>
      <c r="F725" s="37"/>
      <c r="G725" s="37"/>
      <c r="H725" s="37"/>
      <c r="I725" s="37"/>
      <c r="J725" s="37"/>
      <c r="K725" s="37"/>
    </row>
    <row r="727" spans="1:22" ht="16.5" x14ac:dyDescent="0.25">
      <c r="A727" s="37" t="str">
        <f>CONCATENATE("Раздел: ",IF(Source!G507&lt;&gt;"Новый раздел", Source!G507, ""))</f>
        <v>Раздел: Вентиляция</v>
      </c>
      <c r="B727" s="37"/>
      <c r="C727" s="37"/>
      <c r="D727" s="37"/>
      <c r="E727" s="37"/>
      <c r="F727" s="37"/>
      <c r="G727" s="37"/>
      <c r="H727" s="37"/>
      <c r="I727" s="37"/>
      <c r="J727" s="37"/>
      <c r="K727" s="37"/>
    </row>
    <row r="729" spans="1:22" ht="16.5" x14ac:dyDescent="0.25">
      <c r="A729" s="37" t="str">
        <f>CONCATENATE("Подраздел: ",IF(Source!G511&lt;&gt;"Новый подраздел", Source!G511, ""))</f>
        <v>Подраздел: Общеобменная вентиляция</v>
      </c>
      <c r="B729" s="37"/>
      <c r="C729" s="37"/>
      <c r="D729" s="37"/>
      <c r="E729" s="37"/>
      <c r="F729" s="37"/>
      <c r="G729" s="37"/>
      <c r="H729" s="37"/>
      <c r="I729" s="37"/>
      <c r="J729" s="37"/>
      <c r="K729" s="37"/>
    </row>
    <row r="730" spans="1:22" ht="42.75" x14ac:dyDescent="0.2">
      <c r="A730" s="18">
        <v>1</v>
      </c>
      <c r="B730" s="18" t="str">
        <f>Source!F516</f>
        <v>1.18-2403-20-2/1</v>
      </c>
      <c r="C730" s="18" t="str">
        <f>Source!G516</f>
        <v>Техническое обслуживание вытяжных установок производительностью до 20000 м3/ч - ежемесячное</v>
      </c>
      <c r="D730" s="19" t="str">
        <f>Source!H516</f>
        <v>установка</v>
      </c>
      <c r="E730" s="9">
        <f>Source!I516</f>
        <v>2</v>
      </c>
      <c r="F730" s="21"/>
      <c r="G730" s="20"/>
      <c r="H730" s="9"/>
      <c r="I730" s="9"/>
      <c r="J730" s="21"/>
      <c r="K730" s="21"/>
      <c r="Q730">
        <f>ROUND((Source!BZ516/100)*ROUND((Source!AF516*Source!AV516)*Source!I516, 2), 2)</f>
        <v>2394.14</v>
      </c>
      <c r="R730">
        <f>Source!X516</f>
        <v>2394.14</v>
      </c>
      <c r="S730">
        <f>ROUND((Source!CA516/100)*ROUND((Source!AF516*Source!AV516)*Source!I516, 2), 2)</f>
        <v>342.02</v>
      </c>
      <c r="T730">
        <f>Source!Y516</f>
        <v>342.02</v>
      </c>
      <c r="U730">
        <f>ROUND((175/100)*ROUND((Source!AE516*Source!AV516)*Source!I516, 2), 2)</f>
        <v>0</v>
      </c>
      <c r="V730">
        <f>ROUND((108/100)*ROUND(Source!CS516*Source!I516, 2), 2)</f>
        <v>0</v>
      </c>
    </row>
    <row r="731" spans="1:22" ht="14.25" x14ac:dyDescent="0.2">
      <c r="A731" s="18"/>
      <c r="B731" s="18"/>
      <c r="C731" s="18" t="s">
        <v>641</v>
      </c>
      <c r="D731" s="19"/>
      <c r="E731" s="9"/>
      <c r="F731" s="21">
        <f>Source!AO516</f>
        <v>855.05</v>
      </c>
      <c r="G731" s="20" t="str">
        <f>Source!DG516</f>
        <v>)*2</v>
      </c>
      <c r="H731" s="9">
        <f>Source!AV516</f>
        <v>1</v>
      </c>
      <c r="I731" s="9">
        <f>IF(Source!BA516&lt;&gt; 0, Source!BA516, 1)</f>
        <v>1</v>
      </c>
      <c r="J731" s="21">
        <f>Source!S516</f>
        <v>3420.2</v>
      </c>
      <c r="K731" s="21"/>
    </row>
    <row r="732" spans="1:22" ht="14.25" x14ac:dyDescent="0.2">
      <c r="A732" s="18"/>
      <c r="B732" s="18"/>
      <c r="C732" s="18" t="s">
        <v>649</v>
      </c>
      <c r="D732" s="19"/>
      <c r="E732" s="9"/>
      <c r="F732" s="21">
        <f>Source!AL516</f>
        <v>0.11</v>
      </c>
      <c r="G732" s="20" t="str">
        <f>Source!DD516</f>
        <v>)*2</v>
      </c>
      <c r="H732" s="9">
        <f>Source!AW516</f>
        <v>1</v>
      </c>
      <c r="I732" s="9">
        <f>IF(Source!BC516&lt;&gt; 0, Source!BC516, 1)</f>
        <v>1</v>
      </c>
      <c r="J732" s="21">
        <f>Source!P516</f>
        <v>0.44</v>
      </c>
      <c r="K732" s="21"/>
    </row>
    <row r="733" spans="1:22" ht="14.25" x14ac:dyDescent="0.2">
      <c r="A733" s="18"/>
      <c r="B733" s="18"/>
      <c r="C733" s="18" t="s">
        <v>642</v>
      </c>
      <c r="D733" s="19" t="s">
        <v>643</v>
      </c>
      <c r="E733" s="9">
        <f>Source!AT516</f>
        <v>70</v>
      </c>
      <c r="F733" s="21"/>
      <c r="G733" s="20"/>
      <c r="H733" s="9"/>
      <c r="I733" s="9"/>
      <c r="J733" s="21">
        <f>SUM(R730:R732)</f>
        <v>2394.14</v>
      </c>
      <c r="K733" s="21"/>
    </row>
    <row r="734" spans="1:22" ht="14.25" x14ac:dyDescent="0.2">
      <c r="A734" s="18"/>
      <c r="B734" s="18"/>
      <c r="C734" s="18" t="s">
        <v>644</v>
      </c>
      <c r="D734" s="19" t="s">
        <v>643</v>
      </c>
      <c r="E734" s="9">
        <f>Source!AU516</f>
        <v>10</v>
      </c>
      <c r="F734" s="21"/>
      <c r="G734" s="20"/>
      <c r="H734" s="9"/>
      <c r="I734" s="9"/>
      <c r="J734" s="21">
        <f>SUM(T730:T733)</f>
        <v>342.02</v>
      </c>
      <c r="K734" s="21"/>
    </row>
    <row r="735" spans="1:22" ht="14.25" x14ac:dyDescent="0.2">
      <c r="A735" s="18"/>
      <c r="B735" s="18"/>
      <c r="C735" s="18" t="s">
        <v>645</v>
      </c>
      <c r="D735" s="19" t="s">
        <v>646</v>
      </c>
      <c r="E735" s="9">
        <f>Source!AQ516</f>
        <v>1.5</v>
      </c>
      <c r="F735" s="21"/>
      <c r="G735" s="20" t="str">
        <f>Source!DI516</f>
        <v>)*2</v>
      </c>
      <c r="H735" s="9">
        <f>Source!AV516</f>
        <v>1</v>
      </c>
      <c r="I735" s="9"/>
      <c r="J735" s="21"/>
      <c r="K735" s="21">
        <f>Source!U516</f>
        <v>6</v>
      </c>
    </row>
    <row r="736" spans="1:22" ht="15" x14ac:dyDescent="0.25">
      <c r="A736" s="24"/>
      <c r="B736" s="24"/>
      <c r="C736" s="24"/>
      <c r="D736" s="24"/>
      <c r="E736" s="24"/>
      <c r="F736" s="24"/>
      <c r="G736" s="24"/>
      <c r="H736" s="24"/>
      <c r="I736" s="38">
        <f>J731+J732+J733+J734</f>
        <v>6156.7999999999993</v>
      </c>
      <c r="J736" s="38"/>
      <c r="K736" s="25">
        <f>IF(Source!I516&lt;&gt;0, ROUND(I736/Source!I516, 2), 0)</f>
        <v>3078.4</v>
      </c>
      <c r="P736" s="23">
        <f>I736</f>
        <v>6156.7999999999993</v>
      </c>
    </row>
    <row r="737" spans="1:22" ht="42.75" x14ac:dyDescent="0.2">
      <c r="A737" s="18">
        <v>2</v>
      </c>
      <c r="B737" s="18" t="str">
        <f>Source!F517</f>
        <v>1.18-2403-20-4/1</v>
      </c>
      <c r="C737" s="18" t="str">
        <f>Source!G517</f>
        <v>Техническое обслуживание вытяжных установок производительностью до 20000 м3/ч - ежеквартальное</v>
      </c>
      <c r="D737" s="19" t="str">
        <f>Source!H517</f>
        <v>установка</v>
      </c>
      <c r="E737" s="9">
        <f>Source!I517</f>
        <v>2</v>
      </c>
      <c r="F737" s="21"/>
      <c r="G737" s="20"/>
      <c r="H737" s="9"/>
      <c r="I737" s="9"/>
      <c r="J737" s="21"/>
      <c r="K737" s="21"/>
      <c r="Q737">
        <f>ROUND((Source!BZ517/100)*ROUND((Source!AF517*Source!AV517)*Source!I517, 2), 2)</f>
        <v>4437.16</v>
      </c>
      <c r="R737">
        <f>Source!X517</f>
        <v>4437.16</v>
      </c>
      <c r="S737">
        <f>ROUND((Source!CA517/100)*ROUND((Source!AF517*Source!AV517)*Source!I517, 2), 2)</f>
        <v>633.88</v>
      </c>
      <c r="T737">
        <f>Source!Y517</f>
        <v>633.88</v>
      </c>
      <c r="U737">
        <f>ROUND((175/100)*ROUND((Source!AE517*Source!AV517)*Source!I517, 2), 2)</f>
        <v>0</v>
      </c>
      <c r="V737">
        <f>ROUND((108/100)*ROUND(Source!CS517*Source!I517, 2), 2)</f>
        <v>0</v>
      </c>
    </row>
    <row r="738" spans="1:22" ht="14.25" x14ac:dyDescent="0.2">
      <c r="A738" s="18"/>
      <c r="B738" s="18"/>
      <c r="C738" s="18" t="s">
        <v>641</v>
      </c>
      <c r="D738" s="19"/>
      <c r="E738" s="9"/>
      <c r="F738" s="21">
        <f>Source!AO517</f>
        <v>1584.7</v>
      </c>
      <c r="G738" s="20" t="str">
        <f>Source!DG517</f>
        <v>)*2</v>
      </c>
      <c r="H738" s="9">
        <f>Source!AV517</f>
        <v>1</v>
      </c>
      <c r="I738" s="9">
        <f>IF(Source!BA517&lt;&gt; 0, Source!BA517, 1)</f>
        <v>1</v>
      </c>
      <c r="J738" s="21">
        <f>Source!S517</f>
        <v>6338.8</v>
      </c>
      <c r="K738" s="21"/>
    </row>
    <row r="739" spans="1:22" ht="14.25" x14ac:dyDescent="0.2">
      <c r="A739" s="18"/>
      <c r="B739" s="18"/>
      <c r="C739" s="18" t="s">
        <v>649</v>
      </c>
      <c r="D739" s="19"/>
      <c r="E739" s="9"/>
      <c r="F739" s="21">
        <f>Source!AL517</f>
        <v>0.1</v>
      </c>
      <c r="G739" s="20" t="str">
        <f>Source!DD517</f>
        <v>)*2</v>
      </c>
      <c r="H739" s="9">
        <f>Source!AW517</f>
        <v>1</v>
      </c>
      <c r="I739" s="9">
        <f>IF(Source!BC517&lt;&gt; 0, Source!BC517, 1)</f>
        <v>1</v>
      </c>
      <c r="J739" s="21">
        <f>Source!P517</f>
        <v>0.4</v>
      </c>
      <c r="K739" s="21"/>
    </row>
    <row r="740" spans="1:22" ht="14.25" x14ac:dyDescent="0.2">
      <c r="A740" s="18"/>
      <c r="B740" s="18"/>
      <c r="C740" s="18" t="s">
        <v>642</v>
      </c>
      <c r="D740" s="19" t="s">
        <v>643</v>
      </c>
      <c r="E740" s="9">
        <f>Source!AT517</f>
        <v>70</v>
      </c>
      <c r="F740" s="21"/>
      <c r="G740" s="20"/>
      <c r="H740" s="9"/>
      <c r="I740" s="9"/>
      <c r="J740" s="21">
        <f>SUM(R737:R739)</f>
        <v>4437.16</v>
      </c>
      <c r="K740" s="21"/>
    </row>
    <row r="741" spans="1:22" ht="14.25" x14ac:dyDescent="0.2">
      <c r="A741" s="18"/>
      <c r="B741" s="18"/>
      <c r="C741" s="18" t="s">
        <v>644</v>
      </c>
      <c r="D741" s="19" t="s">
        <v>643</v>
      </c>
      <c r="E741" s="9">
        <f>Source!AU517</f>
        <v>10</v>
      </c>
      <c r="F741" s="21"/>
      <c r="G741" s="20"/>
      <c r="H741" s="9"/>
      <c r="I741" s="9"/>
      <c r="J741" s="21">
        <f>SUM(T737:T740)</f>
        <v>633.88</v>
      </c>
      <c r="K741" s="21"/>
    </row>
    <row r="742" spans="1:22" ht="14.25" x14ac:dyDescent="0.2">
      <c r="A742" s="18"/>
      <c r="B742" s="18"/>
      <c r="C742" s="18" t="s">
        <v>645</v>
      </c>
      <c r="D742" s="19" t="s">
        <v>646</v>
      </c>
      <c r="E742" s="9">
        <f>Source!AQ517</f>
        <v>2.78</v>
      </c>
      <c r="F742" s="21"/>
      <c r="G742" s="20" t="str">
        <f>Source!DI517</f>
        <v>)*2</v>
      </c>
      <c r="H742" s="9">
        <f>Source!AV517</f>
        <v>1</v>
      </c>
      <c r="I742" s="9"/>
      <c r="J742" s="21"/>
      <c r="K742" s="21">
        <f>Source!U517</f>
        <v>11.12</v>
      </c>
    </row>
    <row r="743" spans="1:22" ht="15" x14ac:dyDescent="0.25">
      <c r="A743" s="24"/>
      <c r="B743" s="24"/>
      <c r="C743" s="24"/>
      <c r="D743" s="24"/>
      <c r="E743" s="24"/>
      <c r="F743" s="24"/>
      <c r="G743" s="24"/>
      <c r="H743" s="24"/>
      <c r="I743" s="38">
        <f>J738+J739+J740+J741</f>
        <v>11410.24</v>
      </c>
      <c r="J743" s="38"/>
      <c r="K743" s="25">
        <f>IF(Source!I517&lt;&gt;0, ROUND(I743/Source!I517, 2), 0)</f>
        <v>5705.12</v>
      </c>
      <c r="P743" s="23">
        <f>I743</f>
        <v>11410.24</v>
      </c>
    </row>
    <row r="744" spans="1:22" ht="42.75" x14ac:dyDescent="0.2">
      <c r="A744" s="18">
        <v>3</v>
      </c>
      <c r="B744" s="18" t="str">
        <f>Source!F519</f>
        <v>1.18-2403-21-2/1</v>
      </c>
      <c r="C744" s="18" t="str">
        <f>Source!G519</f>
        <v>Техническое обслуживание приточных установок производительностью до 10000 м3/ч - ежемесячное</v>
      </c>
      <c r="D744" s="19" t="str">
        <f>Source!H519</f>
        <v>установка</v>
      </c>
      <c r="E744" s="9">
        <f>Source!I519</f>
        <v>4</v>
      </c>
      <c r="F744" s="21"/>
      <c r="G744" s="20"/>
      <c r="H744" s="9"/>
      <c r="I744" s="9"/>
      <c r="J744" s="21"/>
      <c r="K744" s="21"/>
      <c r="Q744">
        <f>ROUND((Source!BZ519/100)*ROUND((Source!AF519*Source!AV519)*Source!I519, 2), 2)</f>
        <v>6256.71</v>
      </c>
      <c r="R744">
        <f>Source!X519</f>
        <v>6256.71</v>
      </c>
      <c r="S744">
        <f>ROUND((Source!CA519/100)*ROUND((Source!AF519*Source!AV519)*Source!I519, 2), 2)</f>
        <v>893.82</v>
      </c>
      <c r="T744">
        <f>Source!Y519</f>
        <v>893.82</v>
      </c>
      <c r="U744">
        <f>ROUND((175/100)*ROUND((Source!AE519*Source!AV519)*Source!I519, 2), 2)</f>
        <v>0.28000000000000003</v>
      </c>
      <c r="V744">
        <f>ROUND((108/100)*ROUND(Source!CS519*Source!I519, 2), 2)</f>
        <v>0.17</v>
      </c>
    </row>
    <row r="745" spans="1:22" ht="14.25" x14ac:dyDescent="0.2">
      <c r="A745" s="18"/>
      <c r="B745" s="18"/>
      <c r="C745" s="18" t="s">
        <v>641</v>
      </c>
      <c r="D745" s="19"/>
      <c r="E745" s="9"/>
      <c r="F745" s="21">
        <f>Source!AO519</f>
        <v>1117.27</v>
      </c>
      <c r="G745" s="20" t="str">
        <f>Source!DG519</f>
        <v>)*2</v>
      </c>
      <c r="H745" s="9">
        <f>Source!AV519</f>
        <v>1</v>
      </c>
      <c r="I745" s="9">
        <f>IF(Source!BA519&lt;&gt; 0, Source!BA519, 1)</f>
        <v>1</v>
      </c>
      <c r="J745" s="21">
        <f>Source!S519</f>
        <v>8938.16</v>
      </c>
      <c r="K745" s="21"/>
    </row>
    <row r="746" spans="1:22" ht="14.25" x14ac:dyDescent="0.2">
      <c r="A746" s="18"/>
      <c r="B746" s="18"/>
      <c r="C746" s="18" t="s">
        <v>647</v>
      </c>
      <c r="D746" s="19"/>
      <c r="E746" s="9"/>
      <c r="F746" s="21">
        <f>Source!AM519</f>
        <v>2.81</v>
      </c>
      <c r="G746" s="20" t="str">
        <f>Source!DE519</f>
        <v>)*2</v>
      </c>
      <c r="H746" s="9">
        <f>Source!AV519</f>
        <v>1</v>
      </c>
      <c r="I746" s="9">
        <f>IF(Source!BB519&lt;&gt; 0, Source!BB519, 1)</f>
        <v>1</v>
      </c>
      <c r="J746" s="21">
        <f>Source!Q519</f>
        <v>22.48</v>
      </c>
      <c r="K746" s="21"/>
    </row>
    <row r="747" spans="1:22" ht="14.25" x14ac:dyDescent="0.2">
      <c r="A747" s="18"/>
      <c r="B747" s="18"/>
      <c r="C747" s="18" t="s">
        <v>648</v>
      </c>
      <c r="D747" s="19"/>
      <c r="E747" s="9"/>
      <c r="F747" s="21">
        <f>Source!AN519</f>
        <v>0.02</v>
      </c>
      <c r="G747" s="20" t="str">
        <f>Source!DF519</f>
        <v>)*2</v>
      </c>
      <c r="H747" s="9">
        <f>Source!AV519</f>
        <v>1</v>
      </c>
      <c r="I747" s="9">
        <f>IF(Source!BS519&lt;&gt; 0, Source!BS519, 1)</f>
        <v>1</v>
      </c>
      <c r="J747" s="26">
        <f>Source!R519</f>
        <v>0.16</v>
      </c>
      <c r="K747" s="21"/>
    </row>
    <row r="748" spans="1:22" ht="14.25" x14ac:dyDescent="0.2">
      <c r="A748" s="18"/>
      <c r="B748" s="18"/>
      <c r="C748" s="18" t="s">
        <v>649</v>
      </c>
      <c r="D748" s="19"/>
      <c r="E748" s="9"/>
      <c r="F748" s="21">
        <f>Source!AL519</f>
        <v>0.78</v>
      </c>
      <c r="G748" s="20" t="str">
        <f>Source!DD519</f>
        <v>)*2</v>
      </c>
      <c r="H748" s="9">
        <f>Source!AW519</f>
        <v>1</v>
      </c>
      <c r="I748" s="9">
        <f>IF(Source!BC519&lt;&gt; 0, Source!BC519, 1)</f>
        <v>1</v>
      </c>
      <c r="J748" s="21">
        <f>Source!P519</f>
        <v>6.24</v>
      </c>
      <c r="K748" s="21"/>
    </row>
    <row r="749" spans="1:22" ht="14.25" x14ac:dyDescent="0.2">
      <c r="A749" s="18"/>
      <c r="B749" s="18"/>
      <c r="C749" s="18" t="s">
        <v>642</v>
      </c>
      <c r="D749" s="19" t="s">
        <v>643</v>
      </c>
      <c r="E749" s="9">
        <f>Source!AT519</f>
        <v>70</v>
      </c>
      <c r="F749" s="21"/>
      <c r="G749" s="20"/>
      <c r="H749" s="9"/>
      <c r="I749" s="9"/>
      <c r="J749" s="21">
        <f>SUM(R744:R748)</f>
        <v>6256.71</v>
      </c>
      <c r="K749" s="21"/>
    </row>
    <row r="750" spans="1:22" ht="14.25" x14ac:dyDescent="0.2">
      <c r="A750" s="18"/>
      <c r="B750" s="18"/>
      <c r="C750" s="18" t="s">
        <v>644</v>
      </c>
      <c r="D750" s="19" t="s">
        <v>643</v>
      </c>
      <c r="E750" s="9">
        <f>Source!AU519</f>
        <v>10</v>
      </c>
      <c r="F750" s="21"/>
      <c r="G750" s="20"/>
      <c r="H750" s="9"/>
      <c r="I750" s="9"/>
      <c r="J750" s="21">
        <f>SUM(T744:T749)</f>
        <v>893.82</v>
      </c>
      <c r="K750" s="21"/>
    </row>
    <row r="751" spans="1:22" ht="14.25" x14ac:dyDescent="0.2">
      <c r="A751" s="18"/>
      <c r="B751" s="18"/>
      <c r="C751" s="18" t="s">
        <v>650</v>
      </c>
      <c r="D751" s="19" t="s">
        <v>643</v>
      </c>
      <c r="E751" s="9">
        <f>108</f>
        <v>108</v>
      </c>
      <c r="F751" s="21"/>
      <c r="G751" s="20"/>
      <c r="H751" s="9"/>
      <c r="I751" s="9"/>
      <c r="J751" s="21">
        <f>SUM(V744:V750)</f>
        <v>0.17</v>
      </c>
      <c r="K751" s="21"/>
    </row>
    <row r="752" spans="1:22" ht="14.25" x14ac:dyDescent="0.2">
      <c r="A752" s="18"/>
      <c r="B752" s="18"/>
      <c r="C752" s="18" t="s">
        <v>645</v>
      </c>
      <c r="D752" s="19" t="s">
        <v>646</v>
      </c>
      <c r="E752" s="9">
        <f>Source!AQ519</f>
        <v>1.96</v>
      </c>
      <c r="F752" s="21"/>
      <c r="G752" s="20" t="str">
        <f>Source!DI519</f>
        <v>)*2</v>
      </c>
      <c r="H752" s="9">
        <f>Source!AV519</f>
        <v>1</v>
      </c>
      <c r="I752" s="9"/>
      <c r="J752" s="21"/>
      <c r="K752" s="21">
        <f>Source!U519</f>
        <v>15.68</v>
      </c>
    </row>
    <row r="753" spans="1:22" ht="15" x14ac:dyDescent="0.25">
      <c r="A753" s="24"/>
      <c r="B753" s="24"/>
      <c r="C753" s="24"/>
      <c r="D753" s="24"/>
      <c r="E753" s="24"/>
      <c r="F753" s="24"/>
      <c r="G753" s="24"/>
      <c r="H753" s="24"/>
      <c r="I753" s="38">
        <f>J745+J746+J748+J749+J750+J751</f>
        <v>16117.58</v>
      </c>
      <c r="J753" s="38"/>
      <c r="K753" s="25">
        <f>IF(Source!I519&lt;&gt;0, ROUND(I753/Source!I519, 2), 0)</f>
        <v>4029.4</v>
      </c>
      <c r="P753" s="23">
        <f>I753</f>
        <v>16117.58</v>
      </c>
    </row>
    <row r="754" spans="1:22" ht="42.75" x14ac:dyDescent="0.2">
      <c r="A754" s="18">
        <v>4</v>
      </c>
      <c r="B754" s="18" t="str">
        <f>Source!F520</f>
        <v>1.18-2403-21-5/1</v>
      </c>
      <c r="C754" s="18" t="str">
        <f>Source!G520</f>
        <v>Техническое обслуживание приточных установок производительностью до 10000 м3/ч - ежеквартальное</v>
      </c>
      <c r="D754" s="19" t="str">
        <f>Source!H520</f>
        <v>установка</v>
      </c>
      <c r="E754" s="9">
        <f>Source!I520</f>
        <v>4</v>
      </c>
      <c r="F754" s="21"/>
      <c r="G754" s="20"/>
      <c r="H754" s="9"/>
      <c r="I754" s="9"/>
      <c r="J754" s="21"/>
      <c r="K754" s="21"/>
      <c r="Q754">
        <f>ROUND((Source!BZ520/100)*ROUND((Source!AF520*Source!AV520)*Source!I520, 2), 2)</f>
        <v>12066.49</v>
      </c>
      <c r="R754">
        <f>Source!X520</f>
        <v>12066.49</v>
      </c>
      <c r="S754">
        <f>ROUND((Source!CA520/100)*ROUND((Source!AF520*Source!AV520)*Source!I520, 2), 2)</f>
        <v>1723.78</v>
      </c>
      <c r="T754">
        <f>Source!Y520</f>
        <v>1723.78</v>
      </c>
      <c r="U754">
        <f>ROUND((175/100)*ROUND((Source!AE520*Source!AV520)*Source!I520, 2), 2)</f>
        <v>0.28000000000000003</v>
      </c>
      <c r="V754">
        <f>ROUND((108/100)*ROUND(Source!CS520*Source!I520, 2), 2)</f>
        <v>0.17</v>
      </c>
    </row>
    <row r="755" spans="1:22" ht="14.25" x14ac:dyDescent="0.2">
      <c r="A755" s="18"/>
      <c r="B755" s="18"/>
      <c r="C755" s="18" t="s">
        <v>641</v>
      </c>
      <c r="D755" s="19"/>
      <c r="E755" s="9"/>
      <c r="F755" s="21">
        <f>Source!AO520</f>
        <v>2154.73</v>
      </c>
      <c r="G755" s="20" t="str">
        <f>Source!DG520</f>
        <v>)*2</v>
      </c>
      <c r="H755" s="9">
        <f>Source!AV520</f>
        <v>1</v>
      </c>
      <c r="I755" s="9">
        <f>IF(Source!BA520&lt;&gt; 0, Source!BA520, 1)</f>
        <v>1</v>
      </c>
      <c r="J755" s="21">
        <f>Source!S520</f>
        <v>17237.84</v>
      </c>
      <c r="K755" s="21"/>
    </row>
    <row r="756" spans="1:22" ht="14.25" x14ac:dyDescent="0.2">
      <c r="A756" s="18"/>
      <c r="B756" s="18"/>
      <c r="C756" s="18" t="s">
        <v>647</v>
      </c>
      <c r="D756" s="19"/>
      <c r="E756" s="9"/>
      <c r="F756" s="21">
        <f>Source!AM520</f>
        <v>2.81</v>
      </c>
      <c r="G756" s="20" t="str">
        <f>Source!DE520</f>
        <v>)*2</v>
      </c>
      <c r="H756" s="9">
        <f>Source!AV520</f>
        <v>1</v>
      </c>
      <c r="I756" s="9">
        <f>IF(Source!BB520&lt;&gt; 0, Source!BB520, 1)</f>
        <v>1</v>
      </c>
      <c r="J756" s="21">
        <f>Source!Q520</f>
        <v>22.48</v>
      </c>
      <c r="K756" s="21"/>
    </row>
    <row r="757" spans="1:22" ht="14.25" x14ac:dyDescent="0.2">
      <c r="A757" s="18"/>
      <c r="B757" s="18"/>
      <c r="C757" s="18" t="s">
        <v>648</v>
      </c>
      <c r="D757" s="19"/>
      <c r="E757" s="9"/>
      <c r="F757" s="21">
        <f>Source!AN520</f>
        <v>0.02</v>
      </c>
      <c r="G757" s="20" t="str">
        <f>Source!DF520</f>
        <v>)*2</v>
      </c>
      <c r="H757" s="9">
        <f>Source!AV520</f>
        <v>1</v>
      </c>
      <c r="I757" s="9">
        <f>IF(Source!BS520&lt;&gt; 0, Source!BS520, 1)</f>
        <v>1</v>
      </c>
      <c r="J757" s="26">
        <f>Source!R520</f>
        <v>0.16</v>
      </c>
      <c r="K757" s="21"/>
    </row>
    <row r="758" spans="1:22" ht="14.25" x14ac:dyDescent="0.2">
      <c r="A758" s="18"/>
      <c r="B758" s="18"/>
      <c r="C758" s="18" t="s">
        <v>649</v>
      </c>
      <c r="D758" s="19"/>
      <c r="E758" s="9"/>
      <c r="F758" s="21">
        <f>Source!AL520</f>
        <v>14.87</v>
      </c>
      <c r="G758" s="20" t="str">
        <f>Source!DD520</f>
        <v>)*2</v>
      </c>
      <c r="H758" s="9">
        <f>Source!AW520</f>
        <v>1</v>
      </c>
      <c r="I758" s="9">
        <f>IF(Source!BC520&lt;&gt; 0, Source!BC520, 1)</f>
        <v>1</v>
      </c>
      <c r="J758" s="21">
        <f>Source!P520</f>
        <v>118.96</v>
      </c>
      <c r="K758" s="21"/>
    </row>
    <row r="759" spans="1:22" ht="14.25" x14ac:dyDescent="0.2">
      <c r="A759" s="18"/>
      <c r="B759" s="18"/>
      <c r="C759" s="18" t="s">
        <v>642</v>
      </c>
      <c r="D759" s="19" t="s">
        <v>643</v>
      </c>
      <c r="E759" s="9">
        <f>Source!AT520</f>
        <v>70</v>
      </c>
      <c r="F759" s="21"/>
      <c r="G759" s="20"/>
      <c r="H759" s="9"/>
      <c r="I759" s="9"/>
      <c r="J759" s="21">
        <f>SUM(R754:R758)</f>
        <v>12066.49</v>
      </c>
      <c r="K759" s="21"/>
    </row>
    <row r="760" spans="1:22" ht="14.25" x14ac:dyDescent="0.2">
      <c r="A760" s="18"/>
      <c r="B760" s="18"/>
      <c r="C760" s="18" t="s">
        <v>644</v>
      </c>
      <c r="D760" s="19" t="s">
        <v>643</v>
      </c>
      <c r="E760" s="9">
        <f>Source!AU520</f>
        <v>10</v>
      </c>
      <c r="F760" s="21"/>
      <c r="G760" s="20"/>
      <c r="H760" s="9"/>
      <c r="I760" s="9"/>
      <c r="J760" s="21">
        <f>SUM(T754:T759)</f>
        <v>1723.78</v>
      </c>
      <c r="K760" s="21"/>
    </row>
    <row r="761" spans="1:22" ht="14.25" x14ac:dyDescent="0.2">
      <c r="A761" s="18"/>
      <c r="B761" s="18"/>
      <c r="C761" s="18" t="s">
        <v>650</v>
      </c>
      <c r="D761" s="19" t="s">
        <v>643</v>
      </c>
      <c r="E761" s="9">
        <f>108</f>
        <v>108</v>
      </c>
      <c r="F761" s="21"/>
      <c r="G761" s="20"/>
      <c r="H761" s="9"/>
      <c r="I761" s="9"/>
      <c r="J761" s="21">
        <f>SUM(V754:V760)</f>
        <v>0.17</v>
      </c>
      <c r="K761" s="21"/>
    </row>
    <row r="762" spans="1:22" ht="14.25" x14ac:dyDescent="0.2">
      <c r="A762" s="18"/>
      <c r="B762" s="18"/>
      <c r="C762" s="18" t="s">
        <v>645</v>
      </c>
      <c r="D762" s="19" t="s">
        <v>646</v>
      </c>
      <c r="E762" s="9">
        <f>Source!AQ520</f>
        <v>3.78</v>
      </c>
      <c r="F762" s="21"/>
      <c r="G762" s="20" t="str">
        <f>Source!DI520</f>
        <v>)*2</v>
      </c>
      <c r="H762" s="9">
        <f>Source!AV520</f>
        <v>1</v>
      </c>
      <c r="I762" s="9"/>
      <c r="J762" s="21"/>
      <c r="K762" s="21">
        <f>Source!U520</f>
        <v>30.24</v>
      </c>
    </row>
    <row r="763" spans="1:22" ht="15" x14ac:dyDescent="0.25">
      <c r="A763" s="24"/>
      <c r="B763" s="24"/>
      <c r="C763" s="24"/>
      <c r="D763" s="24"/>
      <c r="E763" s="24"/>
      <c r="F763" s="24"/>
      <c r="G763" s="24"/>
      <c r="H763" s="24"/>
      <c r="I763" s="38">
        <f>J755+J756+J758+J759+J760+J761</f>
        <v>31169.719999999994</v>
      </c>
      <c r="J763" s="38"/>
      <c r="K763" s="25">
        <f>IF(Source!I520&lt;&gt;0, ROUND(I763/Source!I520, 2), 0)</f>
        <v>7792.43</v>
      </c>
      <c r="P763" s="23">
        <f>I763</f>
        <v>31169.719999999994</v>
      </c>
    </row>
    <row r="764" spans="1:22" ht="42.75" x14ac:dyDescent="0.2">
      <c r="A764" s="18">
        <v>5</v>
      </c>
      <c r="B764" s="18" t="str">
        <f>Source!F521</f>
        <v>1.18-2403-21-8/1</v>
      </c>
      <c r="C764" s="18" t="str">
        <f>Source!G521</f>
        <v>Техническое обслуживание приточных установок производительностью до 10000 м3/ч - годовое</v>
      </c>
      <c r="D764" s="19" t="str">
        <f>Source!H521</f>
        <v>установка</v>
      </c>
      <c r="E764" s="9">
        <f>Source!I521</f>
        <v>4</v>
      </c>
      <c r="F764" s="21"/>
      <c r="G764" s="20"/>
      <c r="H764" s="9"/>
      <c r="I764" s="9"/>
      <c r="J764" s="21"/>
      <c r="K764" s="21"/>
      <c r="Q764">
        <f>ROUND((Source!BZ521/100)*ROUND((Source!AF521*Source!AV521)*Source!I521, 2), 2)</f>
        <v>15162.92</v>
      </c>
      <c r="R764">
        <f>Source!X521</f>
        <v>15162.92</v>
      </c>
      <c r="S764">
        <f>ROUND((Source!CA521/100)*ROUND((Source!AF521*Source!AV521)*Source!I521, 2), 2)</f>
        <v>2166.13</v>
      </c>
      <c r="T764">
        <f>Source!Y521</f>
        <v>2166.13</v>
      </c>
      <c r="U764">
        <f>ROUND((175/100)*ROUND((Source!AE521*Source!AV521)*Source!I521, 2), 2)</f>
        <v>0.56000000000000005</v>
      </c>
      <c r="V764">
        <f>ROUND((108/100)*ROUND(Source!CS521*Source!I521, 2), 2)</f>
        <v>0.35</v>
      </c>
    </row>
    <row r="765" spans="1:22" ht="14.25" x14ac:dyDescent="0.2">
      <c r="A765" s="18"/>
      <c r="B765" s="18"/>
      <c r="C765" s="18" t="s">
        <v>641</v>
      </c>
      <c r="D765" s="19"/>
      <c r="E765" s="9"/>
      <c r="F765" s="21">
        <f>Source!AO521</f>
        <v>5415.33</v>
      </c>
      <c r="G765" s="20" t="str">
        <f>Source!DG521</f>
        <v/>
      </c>
      <c r="H765" s="9">
        <f>Source!AV521</f>
        <v>1</v>
      </c>
      <c r="I765" s="9">
        <f>IF(Source!BA521&lt;&gt; 0, Source!BA521, 1)</f>
        <v>1</v>
      </c>
      <c r="J765" s="21">
        <f>Source!S521</f>
        <v>21661.32</v>
      </c>
      <c r="K765" s="21"/>
    </row>
    <row r="766" spans="1:22" ht="14.25" x14ac:dyDescent="0.2">
      <c r="A766" s="18"/>
      <c r="B766" s="18"/>
      <c r="C766" s="18" t="s">
        <v>647</v>
      </c>
      <c r="D766" s="19"/>
      <c r="E766" s="9"/>
      <c r="F766" s="21">
        <f>Source!AM521</f>
        <v>15.17</v>
      </c>
      <c r="G766" s="20" t="str">
        <f>Source!DE521</f>
        <v/>
      </c>
      <c r="H766" s="9">
        <f>Source!AV521</f>
        <v>1</v>
      </c>
      <c r="I766" s="9">
        <f>IF(Source!BB521&lt;&gt; 0, Source!BB521, 1)</f>
        <v>1</v>
      </c>
      <c r="J766" s="21">
        <f>Source!Q521</f>
        <v>60.68</v>
      </c>
      <c r="K766" s="21"/>
    </row>
    <row r="767" spans="1:22" ht="14.25" x14ac:dyDescent="0.2">
      <c r="A767" s="18"/>
      <c r="B767" s="18"/>
      <c r="C767" s="18" t="s">
        <v>648</v>
      </c>
      <c r="D767" s="19"/>
      <c r="E767" s="9"/>
      <c r="F767" s="21">
        <f>Source!AN521</f>
        <v>0.08</v>
      </c>
      <c r="G767" s="20" t="str">
        <f>Source!DF521</f>
        <v/>
      </c>
      <c r="H767" s="9">
        <f>Source!AV521</f>
        <v>1</v>
      </c>
      <c r="I767" s="9">
        <f>IF(Source!BS521&lt;&gt; 0, Source!BS521, 1)</f>
        <v>1</v>
      </c>
      <c r="J767" s="26">
        <f>Source!R521</f>
        <v>0.32</v>
      </c>
      <c r="K767" s="21"/>
    </row>
    <row r="768" spans="1:22" ht="14.25" x14ac:dyDescent="0.2">
      <c r="A768" s="18"/>
      <c r="B768" s="18"/>
      <c r="C768" s="18" t="s">
        <v>649</v>
      </c>
      <c r="D768" s="19"/>
      <c r="E768" s="9"/>
      <c r="F768" s="21">
        <f>Source!AL521</f>
        <v>19.329999999999998</v>
      </c>
      <c r="G768" s="20" t="str">
        <f>Source!DD521</f>
        <v/>
      </c>
      <c r="H768" s="9">
        <f>Source!AW521</f>
        <v>1</v>
      </c>
      <c r="I768" s="9">
        <f>IF(Source!BC521&lt;&gt; 0, Source!BC521, 1)</f>
        <v>1</v>
      </c>
      <c r="J768" s="21">
        <f>Source!P521</f>
        <v>77.319999999999993</v>
      </c>
      <c r="K768" s="21"/>
    </row>
    <row r="769" spans="1:22" ht="14.25" x14ac:dyDescent="0.2">
      <c r="A769" s="18"/>
      <c r="B769" s="18"/>
      <c r="C769" s="18" t="s">
        <v>642</v>
      </c>
      <c r="D769" s="19" t="s">
        <v>643</v>
      </c>
      <c r="E769" s="9">
        <f>Source!AT521</f>
        <v>70</v>
      </c>
      <c r="F769" s="21"/>
      <c r="G769" s="20"/>
      <c r="H769" s="9"/>
      <c r="I769" s="9"/>
      <c r="J769" s="21">
        <f>SUM(R764:R768)</f>
        <v>15162.92</v>
      </c>
      <c r="K769" s="21"/>
    </row>
    <row r="770" spans="1:22" ht="14.25" x14ac:dyDescent="0.2">
      <c r="A770" s="18"/>
      <c r="B770" s="18"/>
      <c r="C770" s="18" t="s">
        <v>644</v>
      </c>
      <c r="D770" s="19" t="s">
        <v>643</v>
      </c>
      <c r="E770" s="9">
        <f>Source!AU521</f>
        <v>10</v>
      </c>
      <c r="F770" s="21"/>
      <c r="G770" s="20"/>
      <c r="H770" s="9"/>
      <c r="I770" s="9"/>
      <c r="J770" s="21">
        <f>SUM(T764:T769)</f>
        <v>2166.13</v>
      </c>
      <c r="K770" s="21"/>
    </row>
    <row r="771" spans="1:22" ht="14.25" x14ac:dyDescent="0.2">
      <c r="A771" s="18"/>
      <c r="B771" s="18"/>
      <c r="C771" s="18" t="s">
        <v>650</v>
      </c>
      <c r="D771" s="19" t="s">
        <v>643</v>
      </c>
      <c r="E771" s="9">
        <f>108</f>
        <v>108</v>
      </c>
      <c r="F771" s="21"/>
      <c r="G771" s="20"/>
      <c r="H771" s="9"/>
      <c r="I771" s="9"/>
      <c r="J771" s="21">
        <f>SUM(V764:V770)</f>
        <v>0.35</v>
      </c>
      <c r="K771" s="21"/>
    </row>
    <row r="772" spans="1:22" ht="14.25" x14ac:dyDescent="0.2">
      <c r="A772" s="18"/>
      <c r="B772" s="18"/>
      <c r="C772" s="18" t="s">
        <v>645</v>
      </c>
      <c r="D772" s="19" t="s">
        <v>646</v>
      </c>
      <c r="E772" s="9">
        <f>Source!AQ521</f>
        <v>9.5</v>
      </c>
      <c r="F772" s="21"/>
      <c r="G772" s="20" t="str">
        <f>Source!DI521</f>
        <v/>
      </c>
      <c r="H772" s="9">
        <f>Source!AV521</f>
        <v>1</v>
      </c>
      <c r="I772" s="9"/>
      <c r="J772" s="21"/>
      <c r="K772" s="21">
        <f>Source!U521</f>
        <v>38</v>
      </c>
    </row>
    <row r="773" spans="1:22" ht="15" x14ac:dyDescent="0.25">
      <c r="A773" s="24"/>
      <c r="B773" s="24"/>
      <c r="C773" s="24"/>
      <c r="D773" s="24"/>
      <c r="E773" s="24"/>
      <c r="F773" s="24"/>
      <c r="G773" s="24"/>
      <c r="H773" s="24"/>
      <c r="I773" s="38">
        <f>J765+J766+J768+J769+J770+J771</f>
        <v>39128.719999999994</v>
      </c>
      <c r="J773" s="38"/>
      <c r="K773" s="25">
        <f>IF(Source!I521&lt;&gt;0, ROUND(I773/Source!I521, 2), 0)</f>
        <v>9782.18</v>
      </c>
      <c r="P773" s="23">
        <f>I773</f>
        <v>39128.719999999994</v>
      </c>
    </row>
    <row r="774" spans="1:22" ht="57" x14ac:dyDescent="0.2">
      <c r="A774" s="18">
        <v>6</v>
      </c>
      <c r="B774" s="18" t="str">
        <f>Source!F523</f>
        <v>1.18-2403-20-2/1</v>
      </c>
      <c r="C774" s="18" t="str">
        <f>Source!G523</f>
        <v>Техническое обслуживание вытяжных установок производительностью до 20000 м3/ч - ежемесячное / применительно до 10000 м3/ч</v>
      </c>
      <c r="D774" s="19" t="str">
        <f>Source!H523</f>
        <v>установка</v>
      </c>
      <c r="E774" s="9">
        <f>Source!I523</f>
        <v>2</v>
      </c>
      <c r="F774" s="21"/>
      <c r="G774" s="20"/>
      <c r="H774" s="9"/>
      <c r="I774" s="9"/>
      <c r="J774" s="21"/>
      <c r="K774" s="21"/>
      <c r="Q774">
        <f>ROUND((Source!BZ523/100)*ROUND((Source!AF523*Source!AV523)*Source!I523, 2), 2)</f>
        <v>2394.14</v>
      </c>
      <c r="R774">
        <f>Source!X523</f>
        <v>2394.14</v>
      </c>
      <c r="S774">
        <f>ROUND((Source!CA523/100)*ROUND((Source!AF523*Source!AV523)*Source!I523, 2), 2)</f>
        <v>342.02</v>
      </c>
      <c r="T774">
        <f>Source!Y523</f>
        <v>342.02</v>
      </c>
      <c r="U774">
        <f>ROUND((175/100)*ROUND((Source!AE523*Source!AV523)*Source!I523, 2), 2)</f>
        <v>0</v>
      </c>
      <c r="V774">
        <f>ROUND((108/100)*ROUND(Source!CS523*Source!I523, 2), 2)</f>
        <v>0</v>
      </c>
    </row>
    <row r="775" spans="1:22" ht="14.25" x14ac:dyDescent="0.2">
      <c r="A775" s="18"/>
      <c r="B775" s="18"/>
      <c r="C775" s="18" t="s">
        <v>641</v>
      </c>
      <c r="D775" s="19"/>
      <c r="E775" s="9"/>
      <c r="F775" s="21">
        <f>Source!AO523</f>
        <v>855.05</v>
      </c>
      <c r="G775" s="20" t="str">
        <f>Source!DG523</f>
        <v>)*2</v>
      </c>
      <c r="H775" s="9">
        <f>Source!AV523</f>
        <v>1</v>
      </c>
      <c r="I775" s="9">
        <f>IF(Source!BA523&lt;&gt; 0, Source!BA523, 1)</f>
        <v>1</v>
      </c>
      <c r="J775" s="21">
        <f>Source!S523</f>
        <v>3420.2</v>
      </c>
      <c r="K775" s="21"/>
    </row>
    <row r="776" spans="1:22" ht="14.25" x14ac:dyDescent="0.2">
      <c r="A776" s="18"/>
      <c r="B776" s="18"/>
      <c r="C776" s="18" t="s">
        <v>649</v>
      </c>
      <c r="D776" s="19"/>
      <c r="E776" s="9"/>
      <c r="F776" s="21">
        <f>Source!AL523</f>
        <v>0.11</v>
      </c>
      <c r="G776" s="20" t="str">
        <f>Source!DD523</f>
        <v>)*2</v>
      </c>
      <c r="H776" s="9">
        <f>Source!AW523</f>
        <v>1</v>
      </c>
      <c r="I776" s="9">
        <f>IF(Source!BC523&lt;&gt; 0, Source!BC523, 1)</f>
        <v>1</v>
      </c>
      <c r="J776" s="21">
        <f>Source!P523</f>
        <v>0.44</v>
      </c>
      <c r="K776" s="21"/>
    </row>
    <row r="777" spans="1:22" ht="14.25" x14ac:dyDescent="0.2">
      <c r="A777" s="18"/>
      <c r="B777" s="18"/>
      <c r="C777" s="18" t="s">
        <v>642</v>
      </c>
      <c r="D777" s="19" t="s">
        <v>643</v>
      </c>
      <c r="E777" s="9">
        <f>Source!AT523</f>
        <v>70</v>
      </c>
      <c r="F777" s="21"/>
      <c r="G777" s="20"/>
      <c r="H777" s="9"/>
      <c r="I777" s="9"/>
      <c r="J777" s="21">
        <f>SUM(R774:R776)</f>
        <v>2394.14</v>
      </c>
      <c r="K777" s="21"/>
    </row>
    <row r="778" spans="1:22" ht="14.25" x14ac:dyDescent="0.2">
      <c r="A778" s="18"/>
      <c r="B778" s="18"/>
      <c r="C778" s="18" t="s">
        <v>644</v>
      </c>
      <c r="D778" s="19" t="s">
        <v>643</v>
      </c>
      <c r="E778" s="9">
        <f>Source!AU523</f>
        <v>10</v>
      </c>
      <c r="F778" s="21"/>
      <c r="G778" s="20"/>
      <c r="H778" s="9"/>
      <c r="I778" s="9"/>
      <c r="J778" s="21">
        <f>SUM(T774:T777)</f>
        <v>342.02</v>
      </c>
      <c r="K778" s="21"/>
    </row>
    <row r="779" spans="1:22" ht="14.25" x14ac:dyDescent="0.2">
      <c r="A779" s="18"/>
      <c r="B779" s="18"/>
      <c r="C779" s="18" t="s">
        <v>645</v>
      </c>
      <c r="D779" s="19" t="s">
        <v>646</v>
      </c>
      <c r="E779" s="9">
        <f>Source!AQ523</f>
        <v>1.5</v>
      </c>
      <c r="F779" s="21"/>
      <c r="G779" s="20" t="str">
        <f>Source!DI523</f>
        <v>)*2</v>
      </c>
      <c r="H779" s="9">
        <f>Source!AV523</f>
        <v>1</v>
      </c>
      <c r="I779" s="9"/>
      <c r="J779" s="21"/>
      <c r="K779" s="21">
        <f>Source!U523</f>
        <v>6</v>
      </c>
    </row>
    <row r="780" spans="1:22" ht="15" x14ac:dyDescent="0.25">
      <c r="A780" s="24"/>
      <c r="B780" s="24"/>
      <c r="C780" s="24"/>
      <c r="D780" s="24"/>
      <c r="E780" s="24"/>
      <c r="F780" s="24"/>
      <c r="G780" s="24"/>
      <c r="H780" s="24"/>
      <c r="I780" s="38">
        <f>J775+J776+J777+J778</f>
        <v>6156.7999999999993</v>
      </c>
      <c r="J780" s="38"/>
      <c r="K780" s="25">
        <f>IF(Source!I523&lt;&gt;0, ROUND(I780/Source!I523, 2), 0)</f>
        <v>3078.4</v>
      </c>
      <c r="P780" s="23">
        <f>I780</f>
        <v>6156.7999999999993</v>
      </c>
    </row>
    <row r="781" spans="1:22" ht="57" x14ac:dyDescent="0.2">
      <c r="A781" s="18">
        <v>7</v>
      </c>
      <c r="B781" s="18" t="str">
        <f>Source!F524</f>
        <v>1.18-2403-20-4/1</v>
      </c>
      <c r="C781" s="18" t="str">
        <f>Source!G524</f>
        <v>Техническое обслуживание вытяжных установок производительностью до 20000 м3/ч - ежеквартальное / применительно до 10000 м3/ч</v>
      </c>
      <c r="D781" s="19" t="str">
        <f>Source!H524</f>
        <v>установка</v>
      </c>
      <c r="E781" s="9">
        <f>Source!I524</f>
        <v>2</v>
      </c>
      <c r="F781" s="21"/>
      <c r="G781" s="20"/>
      <c r="H781" s="9"/>
      <c r="I781" s="9"/>
      <c r="J781" s="21"/>
      <c r="K781" s="21"/>
      <c r="Q781">
        <f>ROUND((Source!BZ524/100)*ROUND((Source!AF524*Source!AV524)*Source!I524, 2), 2)</f>
        <v>4437.16</v>
      </c>
      <c r="R781">
        <f>Source!X524</f>
        <v>4437.16</v>
      </c>
      <c r="S781">
        <f>ROUND((Source!CA524/100)*ROUND((Source!AF524*Source!AV524)*Source!I524, 2), 2)</f>
        <v>633.88</v>
      </c>
      <c r="T781">
        <f>Source!Y524</f>
        <v>633.88</v>
      </c>
      <c r="U781">
        <f>ROUND((175/100)*ROUND((Source!AE524*Source!AV524)*Source!I524, 2), 2)</f>
        <v>0</v>
      </c>
      <c r="V781">
        <f>ROUND((108/100)*ROUND(Source!CS524*Source!I524, 2), 2)</f>
        <v>0</v>
      </c>
    </row>
    <row r="782" spans="1:22" ht="14.25" x14ac:dyDescent="0.2">
      <c r="A782" s="18"/>
      <c r="B782" s="18"/>
      <c r="C782" s="18" t="s">
        <v>641</v>
      </c>
      <c r="D782" s="19"/>
      <c r="E782" s="9"/>
      <c r="F782" s="21">
        <f>Source!AO524</f>
        <v>1584.7</v>
      </c>
      <c r="G782" s="20" t="str">
        <f>Source!DG524</f>
        <v>)*2</v>
      </c>
      <c r="H782" s="9">
        <f>Source!AV524</f>
        <v>1</v>
      </c>
      <c r="I782" s="9">
        <f>IF(Source!BA524&lt;&gt; 0, Source!BA524, 1)</f>
        <v>1</v>
      </c>
      <c r="J782" s="21">
        <f>Source!S524</f>
        <v>6338.8</v>
      </c>
      <c r="K782" s="21"/>
    </row>
    <row r="783" spans="1:22" ht="14.25" x14ac:dyDescent="0.2">
      <c r="A783" s="18"/>
      <c r="B783" s="18"/>
      <c r="C783" s="18" t="s">
        <v>649</v>
      </c>
      <c r="D783" s="19"/>
      <c r="E783" s="9"/>
      <c r="F783" s="21">
        <f>Source!AL524</f>
        <v>0.1</v>
      </c>
      <c r="G783" s="20" t="str">
        <f>Source!DD524</f>
        <v>)*2</v>
      </c>
      <c r="H783" s="9">
        <f>Source!AW524</f>
        <v>1</v>
      </c>
      <c r="I783" s="9">
        <f>IF(Source!BC524&lt;&gt; 0, Source!BC524, 1)</f>
        <v>1</v>
      </c>
      <c r="J783" s="21">
        <f>Source!P524</f>
        <v>0.4</v>
      </c>
      <c r="K783" s="21"/>
    </row>
    <row r="784" spans="1:22" ht="14.25" x14ac:dyDescent="0.2">
      <c r="A784" s="18"/>
      <c r="B784" s="18"/>
      <c r="C784" s="18" t="s">
        <v>642</v>
      </c>
      <c r="D784" s="19" t="s">
        <v>643</v>
      </c>
      <c r="E784" s="9">
        <f>Source!AT524</f>
        <v>70</v>
      </c>
      <c r="F784" s="21"/>
      <c r="G784" s="20"/>
      <c r="H784" s="9"/>
      <c r="I784" s="9"/>
      <c r="J784" s="21">
        <f>SUM(R781:R783)</f>
        <v>4437.16</v>
      </c>
      <c r="K784" s="21"/>
    </row>
    <row r="785" spans="1:22" ht="14.25" x14ac:dyDescent="0.2">
      <c r="A785" s="18"/>
      <c r="B785" s="18"/>
      <c r="C785" s="18" t="s">
        <v>644</v>
      </c>
      <c r="D785" s="19" t="s">
        <v>643</v>
      </c>
      <c r="E785" s="9">
        <f>Source!AU524</f>
        <v>10</v>
      </c>
      <c r="F785" s="21"/>
      <c r="G785" s="20"/>
      <c r="H785" s="9"/>
      <c r="I785" s="9"/>
      <c r="J785" s="21">
        <f>SUM(T781:T784)</f>
        <v>633.88</v>
      </c>
      <c r="K785" s="21"/>
    </row>
    <row r="786" spans="1:22" ht="14.25" x14ac:dyDescent="0.2">
      <c r="A786" s="18"/>
      <c r="B786" s="18"/>
      <c r="C786" s="18" t="s">
        <v>645</v>
      </c>
      <c r="D786" s="19" t="s">
        <v>646</v>
      </c>
      <c r="E786" s="9">
        <f>Source!AQ524</f>
        <v>2.78</v>
      </c>
      <c r="F786" s="21"/>
      <c r="G786" s="20" t="str">
        <f>Source!DI524</f>
        <v>)*2</v>
      </c>
      <c r="H786" s="9">
        <f>Source!AV524</f>
        <v>1</v>
      </c>
      <c r="I786" s="9"/>
      <c r="J786" s="21"/>
      <c r="K786" s="21">
        <f>Source!U524</f>
        <v>11.12</v>
      </c>
    </row>
    <row r="787" spans="1:22" ht="15" x14ac:dyDescent="0.25">
      <c r="A787" s="24"/>
      <c r="B787" s="24"/>
      <c r="C787" s="24"/>
      <c r="D787" s="24"/>
      <c r="E787" s="24"/>
      <c r="F787" s="24"/>
      <c r="G787" s="24"/>
      <c r="H787" s="24"/>
      <c r="I787" s="38">
        <f>J782+J783+J784+J785</f>
        <v>11410.24</v>
      </c>
      <c r="J787" s="38"/>
      <c r="K787" s="25">
        <f>IF(Source!I524&lt;&gt;0, ROUND(I787/Source!I524, 2), 0)</f>
        <v>5705.12</v>
      </c>
      <c r="P787" s="23">
        <f>I787</f>
        <v>11410.24</v>
      </c>
    </row>
    <row r="788" spans="1:22" ht="57" x14ac:dyDescent="0.2">
      <c r="A788" s="18">
        <v>8</v>
      </c>
      <c r="B788" s="18" t="str">
        <f>Source!F525</f>
        <v>1.18-2403-20-6/1</v>
      </c>
      <c r="C788" s="18" t="str">
        <f>Source!G525</f>
        <v>Техническое обслуживание вытяжных установок производительностью до 20000 м3/ч - годовое / применительно до 10000 м3/ч</v>
      </c>
      <c r="D788" s="19" t="str">
        <f>Source!H525</f>
        <v>установка</v>
      </c>
      <c r="E788" s="9">
        <f>Source!I525</f>
        <v>2</v>
      </c>
      <c r="F788" s="21"/>
      <c r="G788" s="20"/>
      <c r="H788" s="9"/>
      <c r="I788" s="9"/>
      <c r="J788" s="21"/>
      <c r="K788" s="21"/>
      <c r="Q788">
        <f>ROUND((Source!BZ525/100)*ROUND((Source!AF525*Source!AV525)*Source!I525, 2), 2)</f>
        <v>6368.43</v>
      </c>
      <c r="R788">
        <f>Source!X525</f>
        <v>6368.43</v>
      </c>
      <c r="S788">
        <f>ROUND((Source!CA525/100)*ROUND((Source!AF525*Source!AV525)*Source!I525, 2), 2)</f>
        <v>909.78</v>
      </c>
      <c r="T788">
        <f>Source!Y525</f>
        <v>909.78</v>
      </c>
      <c r="U788">
        <f>ROUND((175/100)*ROUND((Source!AE525*Source!AV525)*Source!I525, 2), 2)</f>
        <v>0</v>
      </c>
      <c r="V788">
        <f>ROUND((108/100)*ROUND(Source!CS525*Source!I525, 2), 2)</f>
        <v>0</v>
      </c>
    </row>
    <row r="789" spans="1:22" ht="14.25" x14ac:dyDescent="0.2">
      <c r="A789" s="18"/>
      <c r="B789" s="18"/>
      <c r="C789" s="18" t="s">
        <v>641</v>
      </c>
      <c r="D789" s="19"/>
      <c r="E789" s="9"/>
      <c r="F789" s="21">
        <f>Source!AO525</f>
        <v>4548.88</v>
      </c>
      <c r="G789" s="20" t="str">
        <f>Source!DG525</f>
        <v/>
      </c>
      <c r="H789" s="9">
        <f>Source!AV525</f>
        <v>1</v>
      </c>
      <c r="I789" s="9">
        <f>IF(Source!BA525&lt;&gt; 0, Source!BA525, 1)</f>
        <v>1</v>
      </c>
      <c r="J789" s="21">
        <f>Source!S525</f>
        <v>9097.76</v>
      </c>
      <c r="K789" s="21"/>
    </row>
    <row r="790" spans="1:22" ht="14.25" x14ac:dyDescent="0.2">
      <c r="A790" s="18"/>
      <c r="B790" s="18"/>
      <c r="C790" s="18" t="s">
        <v>649</v>
      </c>
      <c r="D790" s="19"/>
      <c r="E790" s="9"/>
      <c r="F790" s="21">
        <f>Source!AL525</f>
        <v>6.14</v>
      </c>
      <c r="G790" s="20" t="str">
        <f>Source!DD525</f>
        <v/>
      </c>
      <c r="H790" s="9">
        <f>Source!AW525</f>
        <v>1</v>
      </c>
      <c r="I790" s="9">
        <f>IF(Source!BC525&lt;&gt; 0, Source!BC525, 1)</f>
        <v>1</v>
      </c>
      <c r="J790" s="21">
        <f>Source!P525</f>
        <v>12.28</v>
      </c>
      <c r="K790" s="21"/>
    </row>
    <row r="791" spans="1:22" ht="14.25" x14ac:dyDescent="0.2">
      <c r="A791" s="18"/>
      <c r="B791" s="18"/>
      <c r="C791" s="18" t="s">
        <v>642</v>
      </c>
      <c r="D791" s="19" t="s">
        <v>643</v>
      </c>
      <c r="E791" s="9">
        <f>Source!AT525</f>
        <v>70</v>
      </c>
      <c r="F791" s="21"/>
      <c r="G791" s="20"/>
      <c r="H791" s="9"/>
      <c r="I791" s="9"/>
      <c r="J791" s="21">
        <f>SUM(R788:R790)</f>
        <v>6368.43</v>
      </c>
      <c r="K791" s="21"/>
    </row>
    <row r="792" spans="1:22" ht="14.25" x14ac:dyDescent="0.2">
      <c r="A792" s="18"/>
      <c r="B792" s="18"/>
      <c r="C792" s="18" t="s">
        <v>644</v>
      </c>
      <c r="D792" s="19" t="s">
        <v>643</v>
      </c>
      <c r="E792" s="9">
        <f>Source!AU525</f>
        <v>10</v>
      </c>
      <c r="F792" s="21"/>
      <c r="G792" s="20"/>
      <c r="H792" s="9"/>
      <c r="I792" s="9"/>
      <c r="J792" s="21">
        <f>SUM(T788:T791)</f>
        <v>909.78</v>
      </c>
      <c r="K792" s="21"/>
    </row>
    <row r="793" spans="1:22" ht="14.25" x14ac:dyDescent="0.2">
      <c r="A793" s="18"/>
      <c r="B793" s="18"/>
      <c r="C793" s="18" t="s">
        <v>645</v>
      </c>
      <c r="D793" s="19" t="s">
        <v>646</v>
      </c>
      <c r="E793" s="9">
        <f>Source!AQ525</f>
        <v>7.98</v>
      </c>
      <c r="F793" s="21"/>
      <c r="G793" s="20" t="str">
        <f>Source!DI525</f>
        <v/>
      </c>
      <c r="H793" s="9">
        <f>Source!AV525</f>
        <v>1</v>
      </c>
      <c r="I793" s="9"/>
      <c r="J793" s="21"/>
      <c r="K793" s="21">
        <f>Source!U525</f>
        <v>15.96</v>
      </c>
    </row>
    <row r="794" spans="1:22" ht="15" x14ac:dyDescent="0.25">
      <c r="A794" s="24"/>
      <c r="B794" s="24"/>
      <c r="C794" s="24"/>
      <c r="D794" s="24"/>
      <c r="E794" s="24"/>
      <c r="F794" s="24"/>
      <c r="G794" s="24"/>
      <c r="H794" s="24"/>
      <c r="I794" s="38">
        <f>J789+J790+J791+J792</f>
        <v>16388.25</v>
      </c>
      <c r="J794" s="38"/>
      <c r="K794" s="25">
        <f>IF(Source!I525&lt;&gt;0, ROUND(I794/Source!I525, 2), 0)</f>
        <v>8194.1299999999992</v>
      </c>
      <c r="P794" s="23">
        <f>I794</f>
        <v>16388.25</v>
      </c>
    </row>
    <row r="796" spans="1:22" ht="15" x14ac:dyDescent="0.25">
      <c r="A796" s="36" t="str">
        <f>CONCATENATE("Итого по подразделу: ",IF(Source!G527&lt;&gt;"Новый подраздел", Source!G527, ""))</f>
        <v>Итого по подразделу: Общеобменная вентиляция</v>
      </c>
      <c r="B796" s="36"/>
      <c r="C796" s="36"/>
      <c r="D796" s="36"/>
      <c r="E796" s="36"/>
      <c r="F796" s="36"/>
      <c r="G796" s="36"/>
      <c r="H796" s="36"/>
      <c r="I796" s="34">
        <f>SUM(P729:P795)</f>
        <v>137938.35</v>
      </c>
      <c r="J796" s="35"/>
      <c r="K796" s="28"/>
    </row>
    <row r="799" spans="1:22" ht="16.5" x14ac:dyDescent="0.25">
      <c r="A799" s="37" t="str">
        <f>CONCATENATE("Подраздел: ",IF(Source!G557&lt;&gt;"Новый подраздел", Source!G557, ""))</f>
        <v>Подраздел: Очистка и дезинфекция воздуховодов</v>
      </c>
      <c r="B799" s="37"/>
      <c r="C799" s="37"/>
      <c r="D799" s="37"/>
      <c r="E799" s="37"/>
      <c r="F799" s="37"/>
      <c r="G799" s="37"/>
      <c r="H799" s="37"/>
      <c r="I799" s="37"/>
      <c r="J799" s="37"/>
      <c r="K799" s="37"/>
    </row>
    <row r="801" spans="1:11" ht="15" x14ac:dyDescent="0.25">
      <c r="A801" s="36" t="str">
        <f>CONCATENATE("Итого по подразделу: ",IF(Source!G564&lt;&gt;"Новый подраздел", Source!G564, ""))</f>
        <v>Итого по подразделу: Очистка и дезинфекция воздуховодов</v>
      </c>
      <c r="B801" s="36"/>
      <c r="C801" s="36"/>
      <c r="D801" s="36"/>
      <c r="E801" s="36"/>
      <c r="F801" s="36"/>
      <c r="G801" s="36"/>
      <c r="H801" s="36"/>
      <c r="I801" s="34">
        <f>SUM(P799:P800)</f>
        <v>0</v>
      </c>
      <c r="J801" s="35"/>
      <c r="K801" s="28"/>
    </row>
    <row r="804" spans="1:11" ht="15" x14ac:dyDescent="0.25">
      <c r="A804" s="36" t="str">
        <f>CONCATENATE("Итого по разделу: ",IF(Source!G594&lt;&gt;"Новый раздел", Source!G594, ""))</f>
        <v>Итого по разделу: Вентиляция</v>
      </c>
      <c r="B804" s="36"/>
      <c r="C804" s="36"/>
      <c r="D804" s="36"/>
      <c r="E804" s="36"/>
      <c r="F804" s="36"/>
      <c r="G804" s="36"/>
      <c r="H804" s="36"/>
      <c r="I804" s="34">
        <f>SUM(P727:P803)</f>
        <v>137938.35</v>
      </c>
      <c r="J804" s="35"/>
      <c r="K804" s="28"/>
    </row>
    <row r="807" spans="1:11" ht="15" x14ac:dyDescent="0.25">
      <c r="A807" s="36" t="str">
        <f>CONCATENATE("Итого по локальной смете: ",IF(Source!G624&lt;&gt;"Новая локальная смета", Source!G624, ""))</f>
        <v>Итого по локальной смете: Техническое обслуживание вентиляции</v>
      </c>
      <c r="B807" s="36"/>
      <c r="C807" s="36"/>
      <c r="D807" s="36"/>
      <c r="E807" s="36"/>
      <c r="F807" s="36"/>
      <c r="G807" s="36"/>
      <c r="H807" s="36"/>
      <c r="I807" s="34">
        <f>SUM(P725:P806)</f>
        <v>137938.35</v>
      </c>
      <c r="J807" s="35"/>
      <c r="K807" s="28"/>
    </row>
    <row r="810" spans="1:11" ht="15" x14ac:dyDescent="0.25">
      <c r="A810" s="36" t="str">
        <f>CONCATENATE("Итого по смете: ",IF(Source!G654&lt;&gt;"Новый объект", Source!G654, ""))</f>
        <v>Итого по смете: 6.5.1_Ж/Д вокзал и депо_на 4 месяца</v>
      </c>
      <c r="B810" s="36"/>
      <c r="C810" s="36"/>
      <c r="D810" s="36"/>
      <c r="E810" s="36"/>
      <c r="F810" s="36"/>
      <c r="G810" s="36"/>
      <c r="H810" s="36"/>
      <c r="I810" s="34">
        <f>SUM(P1:P809)</f>
        <v>1570746.1600000004</v>
      </c>
      <c r="J810" s="35"/>
      <c r="K810" s="28"/>
    </row>
    <row r="811" spans="1:11" ht="14.25" x14ac:dyDescent="0.2">
      <c r="C811" s="30" t="str">
        <f>Source!H683</f>
        <v>Итого</v>
      </c>
      <c r="D811" s="30"/>
      <c r="E811" s="30"/>
      <c r="F811" s="30"/>
      <c r="G811" s="30"/>
      <c r="H811" s="30"/>
      <c r="I811" s="31">
        <f>IF(Source!F683=0, "", Source!F683)</f>
        <v>1570746.16</v>
      </c>
      <c r="J811" s="31"/>
    </row>
    <row r="812" spans="1:11" ht="14.25" x14ac:dyDescent="0.2">
      <c r="C812" s="30" t="str">
        <f>Source!H684</f>
        <v>НДС, 20%</v>
      </c>
      <c r="D812" s="30"/>
      <c r="E812" s="30"/>
      <c r="F812" s="30"/>
      <c r="G812" s="30"/>
      <c r="H812" s="30"/>
      <c r="I812" s="31">
        <f>IF(Source!F684=0, "", Source!F684)</f>
        <v>314149.23</v>
      </c>
      <c r="J812" s="31"/>
    </row>
    <row r="813" spans="1:11" ht="14.25" x14ac:dyDescent="0.2">
      <c r="C813" s="30" t="str">
        <f>Source!H685</f>
        <v>Всего с НДС</v>
      </c>
      <c r="D813" s="30"/>
      <c r="E813" s="30"/>
      <c r="F813" s="30"/>
      <c r="G813" s="30"/>
      <c r="H813" s="30"/>
      <c r="I813" s="31">
        <f>IF(Source!F685=0, "", Source!F685)</f>
        <v>1884895.39</v>
      </c>
      <c r="J813" s="31"/>
    </row>
    <row r="816" spans="1:11" ht="14.25" x14ac:dyDescent="0.2">
      <c r="A816" s="32" t="s">
        <v>651</v>
      </c>
      <c r="B816" s="32"/>
      <c r="C816" s="29" t="str">
        <f>IF(Source!AC12&lt;&gt;"", Source!AC12," ")</f>
        <v xml:space="preserve"> </v>
      </c>
      <c r="D816" s="29"/>
      <c r="E816" s="29"/>
      <c r="F816" s="29"/>
      <c r="G816" s="29"/>
      <c r="H816" s="10" t="str">
        <f>IF(Source!AB12&lt;&gt;"", Source!AB12," ")</f>
        <v xml:space="preserve"> </v>
      </c>
      <c r="I816" s="10"/>
      <c r="J816" s="10"/>
      <c r="K816" s="10"/>
    </row>
    <row r="817" spans="1:11" ht="14.25" x14ac:dyDescent="0.2">
      <c r="A817" s="10"/>
      <c r="B817" s="10"/>
      <c r="C817" s="33" t="s">
        <v>652</v>
      </c>
      <c r="D817" s="33"/>
      <c r="E817" s="33"/>
      <c r="F817" s="33"/>
      <c r="G817" s="33"/>
      <c r="H817" s="10"/>
      <c r="I817" s="10"/>
      <c r="J817" s="10"/>
      <c r="K817" s="10"/>
    </row>
    <row r="818" spans="1:11" ht="14.25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</row>
    <row r="819" spans="1:11" ht="14.25" x14ac:dyDescent="0.2">
      <c r="A819" s="32" t="s">
        <v>653</v>
      </c>
      <c r="B819" s="32"/>
      <c r="C819" s="29" t="str">
        <f>IF(Source!AE12&lt;&gt;"", Source!AE12," ")</f>
        <v xml:space="preserve"> </v>
      </c>
      <c r="D819" s="29"/>
      <c r="E819" s="29"/>
      <c r="F819" s="29"/>
      <c r="G819" s="29"/>
      <c r="H819" s="10" t="str">
        <f>IF(Source!AD12&lt;&gt;"", Source!AD12," ")</f>
        <v xml:space="preserve"> </v>
      </c>
      <c r="I819" s="10"/>
      <c r="J819" s="10"/>
      <c r="K819" s="10"/>
    </row>
    <row r="820" spans="1:11" ht="14.25" x14ac:dyDescent="0.2">
      <c r="A820" s="10"/>
      <c r="B820" s="10"/>
      <c r="C820" s="33" t="s">
        <v>652</v>
      </c>
      <c r="D820" s="33"/>
      <c r="E820" s="33"/>
      <c r="F820" s="33"/>
      <c r="G820" s="33"/>
      <c r="H820" s="10"/>
      <c r="I820" s="10"/>
      <c r="J820" s="10"/>
      <c r="K820" s="10"/>
    </row>
  </sheetData>
  <mergeCells count="186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I27:I29"/>
    <mergeCell ref="J27:J29"/>
    <mergeCell ref="A32:K32"/>
    <mergeCell ref="A34:K34"/>
    <mergeCell ref="I41:J41"/>
    <mergeCell ref="I48:J48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106:J106"/>
    <mergeCell ref="I115:J115"/>
    <mergeCell ref="I117:J117"/>
    <mergeCell ref="A117:H117"/>
    <mergeCell ref="A120:K120"/>
    <mergeCell ref="I127:J127"/>
    <mergeCell ref="I59:J59"/>
    <mergeCell ref="I66:J66"/>
    <mergeCell ref="I73:J73"/>
    <mergeCell ref="I81:J81"/>
    <mergeCell ref="I90:J90"/>
    <mergeCell ref="I97:J97"/>
    <mergeCell ref="A166:H166"/>
    <mergeCell ref="A169:K169"/>
    <mergeCell ref="I176:J176"/>
    <mergeCell ref="I183:J183"/>
    <mergeCell ref="I190:J190"/>
    <mergeCell ref="I201:J201"/>
    <mergeCell ref="I134:J134"/>
    <mergeCell ref="I141:J141"/>
    <mergeCell ref="I149:J149"/>
    <mergeCell ref="I156:J156"/>
    <mergeCell ref="I164:J164"/>
    <mergeCell ref="I166:J166"/>
    <mergeCell ref="I255:J255"/>
    <mergeCell ref="I257:J257"/>
    <mergeCell ref="A257:H257"/>
    <mergeCell ref="A260:K260"/>
    <mergeCell ref="I266:J266"/>
    <mergeCell ref="I272:J272"/>
    <mergeCell ref="I212:J212"/>
    <mergeCell ref="I220:J220"/>
    <mergeCell ref="I227:J227"/>
    <mergeCell ref="I234:J234"/>
    <mergeCell ref="I242:J242"/>
    <mergeCell ref="I248:J248"/>
    <mergeCell ref="A310:K310"/>
    <mergeCell ref="I316:J316"/>
    <mergeCell ref="I322:J322"/>
    <mergeCell ref="I328:J328"/>
    <mergeCell ref="I335:J335"/>
    <mergeCell ref="I345:J345"/>
    <mergeCell ref="I279:J279"/>
    <mergeCell ref="I290:J290"/>
    <mergeCell ref="I298:J298"/>
    <mergeCell ref="I305:J305"/>
    <mergeCell ref="I307:J307"/>
    <mergeCell ref="A307:H307"/>
    <mergeCell ref="I396:J396"/>
    <mergeCell ref="I407:J407"/>
    <mergeCell ref="I418:J418"/>
    <mergeCell ref="I425:J425"/>
    <mergeCell ref="I432:J432"/>
    <mergeCell ref="I443:J443"/>
    <mergeCell ref="I351:J351"/>
    <mergeCell ref="I357:J357"/>
    <mergeCell ref="I365:J365"/>
    <mergeCell ref="I373:J373"/>
    <mergeCell ref="I383:J383"/>
    <mergeCell ref="I390:J390"/>
    <mergeCell ref="I480:J480"/>
    <mergeCell ref="I490:J490"/>
    <mergeCell ref="I499:J499"/>
    <mergeCell ref="I505:J505"/>
    <mergeCell ref="I507:J507"/>
    <mergeCell ref="A507:H507"/>
    <mergeCell ref="I451:J451"/>
    <mergeCell ref="I458:J458"/>
    <mergeCell ref="I460:J460"/>
    <mergeCell ref="A460:H460"/>
    <mergeCell ref="A463:K463"/>
    <mergeCell ref="I472:J472"/>
    <mergeCell ref="A586:H586"/>
    <mergeCell ref="A589:K589"/>
    <mergeCell ref="I534:J534"/>
    <mergeCell ref="B536:J536"/>
    <mergeCell ref="I543:J543"/>
    <mergeCell ref="I549:J549"/>
    <mergeCell ref="I556:J556"/>
    <mergeCell ref="I563:J563"/>
    <mergeCell ref="I510:J510"/>
    <mergeCell ref="A510:H510"/>
    <mergeCell ref="A513:K513"/>
    <mergeCell ref="A515:K515"/>
    <mergeCell ref="A517:K517"/>
    <mergeCell ref="I524:J524"/>
    <mergeCell ref="I596:J596"/>
    <mergeCell ref="I603:J603"/>
    <mergeCell ref="I610:J610"/>
    <mergeCell ref="I617:J617"/>
    <mergeCell ref="I624:J624"/>
    <mergeCell ref="I631:J631"/>
    <mergeCell ref="I571:J571"/>
    <mergeCell ref="I578:J578"/>
    <mergeCell ref="I584:J584"/>
    <mergeCell ref="I586:J586"/>
    <mergeCell ref="I686:J686"/>
    <mergeCell ref="I692:J692"/>
    <mergeCell ref="I699:J699"/>
    <mergeCell ref="I707:J707"/>
    <mergeCell ref="I714:J714"/>
    <mergeCell ref="I716:J716"/>
    <mergeCell ref="I639:J639"/>
    <mergeCell ref="I646:J646"/>
    <mergeCell ref="I653:J653"/>
    <mergeCell ref="I660:J660"/>
    <mergeCell ref="I666:J666"/>
    <mergeCell ref="I676:J676"/>
    <mergeCell ref="A727:K727"/>
    <mergeCell ref="A729:K729"/>
    <mergeCell ref="I736:J736"/>
    <mergeCell ref="I743:J743"/>
    <mergeCell ref="I753:J753"/>
    <mergeCell ref="I763:J763"/>
    <mergeCell ref="A716:H716"/>
    <mergeCell ref="I719:J719"/>
    <mergeCell ref="A719:H719"/>
    <mergeCell ref="I722:J722"/>
    <mergeCell ref="A722:H722"/>
    <mergeCell ref="A725:K725"/>
    <mergeCell ref="A799:K799"/>
    <mergeCell ref="I801:J801"/>
    <mergeCell ref="A801:H801"/>
    <mergeCell ref="I804:J804"/>
    <mergeCell ref="A804:H804"/>
    <mergeCell ref="I807:J807"/>
    <mergeCell ref="A807:H807"/>
    <mergeCell ref="I773:J773"/>
    <mergeCell ref="I780:J780"/>
    <mergeCell ref="I787:J787"/>
    <mergeCell ref="I794:J794"/>
    <mergeCell ref="I796:J796"/>
    <mergeCell ref="A796:H796"/>
    <mergeCell ref="C813:H813"/>
    <mergeCell ref="I813:J813"/>
    <mergeCell ref="A816:B816"/>
    <mergeCell ref="C817:G817"/>
    <mergeCell ref="A819:B819"/>
    <mergeCell ref="C820:G820"/>
    <mergeCell ref="I810:J810"/>
    <mergeCell ref="A810:H810"/>
    <mergeCell ref="C811:H811"/>
    <mergeCell ref="I811:J811"/>
    <mergeCell ref="C812:H812"/>
    <mergeCell ref="I812:J812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697"/>
  <sheetViews>
    <sheetView topLeftCell="A669"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6</v>
      </c>
      <c r="P1">
        <v>5</v>
      </c>
      <c r="Q1">
        <v>5</v>
      </c>
    </row>
    <row r="12" spans="1:133" x14ac:dyDescent="0.2">
      <c r="A12" s="1">
        <v>1</v>
      </c>
      <c r="B12" s="1">
        <v>693</v>
      </c>
      <c r="C12" s="1">
        <v>0</v>
      </c>
      <c r="D12" s="1">
        <f>ROW(A654)</f>
        <v>654</v>
      </c>
      <c r="E12" s="1">
        <v>0</v>
      </c>
      <c r="F12" s="1" t="s">
        <v>4</v>
      </c>
      <c r="G12" s="1" t="s">
        <v>654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B654</f>
        <v>693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6.5.1_Ж/Д вокзал и депо_на 4 месяца</v>
      </c>
      <c r="H18" s="2"/>
      <c r="I18" s="2"/>
      <c r="J18" s="2"/>
      <c r="K18" s="2"/>
      <c r="L18" s="2"/>
      <c r="M18" s="2"/>
      <c r="N18" s="2"/>
      <c r="O18" s="2">
        <f t="shared" ref="O18:AT18" si="1">O654</f>
        <v>884258.08</v>
      </c>
      <c r="P18" s="2">
        <f t="shared" si="1"/>
        <v>13331.47</v>
      </c>
      <c r="Q18" s="2">
        <f t="shared" si="1"/>
        <v>47512.15</v>
      </c>
      <c r="R18" s="2">
        <f t="shared" si="1"/>
        <v>25700.400000000001</v>
      </c>
      <c r="S18" s="2">
        <f t="shared" si="1"/>
        <v>823414.46</v>
      </c>
      <c r="T18" s="2">
        <f t="shared" si="1"/>
        <v>0</v>
      </c>
      <c r="U18" s="2">
        <f t="shared" si="1"/>
        <v>1565.0674599999998</v>
      </c>
      <c r="V18" s="2">
        <f t="shared" si="1"/>
        <v>0</v>
      </c>
      <c r="W18" s="2">
        <f t="shared" si="1"/>
        <v>0</v>
      </c>
      <c r="X18" s="2">
        <f t="shared" si="1"/>
        <v>576390.16</v>
      </c>
      <c r="Y18" s="2">
        <f t="shared" si="1"/>
        <v>82341.490000000005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1570746.16</v>
      </c>
      <c r="AS18" s="2">
        <f t="shared" si="1"/>
        <v>0</v>
      </c>
      <c r="AT18" s="2">
        <f t="shared" si="1"/>
        <v>0</v>
      </c>
      <c r="AU18" s="2">
        <f t="shared" ref="AU18:BZ18" si="2">AU654</f>
        <v>1570746.16</v>
      </c>
      <c r="AV18" s="2">
        <f t="shared" si="2"/>
        <v>13331.47</v>
      </c>
      <c r="AW18" s="2">
        <f t="shared" si="2"/>
        <v>13331.47</v>
      </c>
      <c r="AX18" s="2">
        <f t="shared" si="2"/>
        <v>0</v>
      </c>
      <c r="AY18" s="2">
        <f t="shared" si="2"/>
        <v>13331.47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CA654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DG654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EM654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FS654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ROW(A303)</f>
        <v>303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B303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O303</f>
        <v>664349.93999999994</v>
      </c>
      <c r="P22" s="2">
        <f t="shared" si="8"/>
        <v>12475.17</v>
      </c>
      <c r="Q22" s="2">
        <f t="shared" si="8"/>
        <v>43471.69</v>
      </c>
      <c r="R22" s="2">
        <f t="shared" si="8"/>
        <v>23565.42</v>
      </c>
      <c r="S22" s="2">
        <f t="shared" si="8"/>
        <v>608403.07999999996</v>
      </c>
      <c r="T22" s="2">
        <f t="shared" si="8"/>
        <v>0</v>
      </c>
      <c r="U22" s="2">
        <f t="shared" si="8"/>
        <v>1219.2289599999999</v>
      </c>
      <c r="V22" s="2">
        <f t="shared" si="8"/>
        <v>0</v>
      </c>
      <c r="W22" s="2">
        <f t="shared" si="8"/>
        <v>0</v>
      </c>
      <c r="X22" s="2">
        <f t="shared" si="8"/>
        <v>425882.18</v>
      </c>
      <c r="Y22" s="2">
        <f t="shared" si="8"/>
        <v>60840.34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1176523.1100000001</v>
      </c>
      <c r="AS22" s="2">
        <f t="shared" si="8"/>
        <v>0</v>
      </c>
      <c r="AT22" s="2">
        <f t="shared" si="8"/>
        <v>0</v>
      </c>
      <c r="AU22" s="2">
        <f t="shared" ref="AU22:BZ22" si="9">AU303</f>
        <v>1176523.1100000001</v>
      </c>
      <c r="AV22" s="2">
        <f t="shared" si="9"/>
        <v>12475.17</v>
      </c>
      <c r="AW22" s="2">
        <f t="shared" si="9"/>
        <v>12475.17</v>
      </c>
      <c r="AX22" s="2">
        <f t="shared" si="9"/>
        <v>0</v>
      </c>
      <c r="AY22" s="2">
        <f t="shared" si="9"/>
        <v>12475.17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CA303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DG303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EM303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FS303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ROW(A43)</f>
        <v>43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Система отопления</v>
      </c>
      <c r="H26" s="2"/>
      <c r="I26" s="2"/>
      <c r="J26" s="2"/>
      <c r="K26" s="2"/>
      <c r="L26" s="2"/>
      <c r="M26" s="2"/>
      <c r="N26" s="2"/>
      <c r="O26" s="2">
        <f t="shared" ref="O26:AT26" si="15">O43</f>
        <v>99103.16</v>
      </c>
      <c r="P26" s="2">
        <f t="shared" si="15"/>
        <v>10712.64</v>
      </c>
      <c r="Q26" s="2">
        <f t="shared" si="15"/>
        <v>20940.05</v>
      </c>
      <c r="R26" s="2">
        <f t="shared" si="15"/>
        <v>11351.39</v>
      </c>
      <c r="S26" s="2">
        <f t="shared" si="15"/>
        <v>67450.47</v>
      </c>
      <c r="T26" s="2">
        <f t="shared" si="15"/>
        <v>0</v>
      </c>
      <c r="U26" s="2">
        <f t="shared" si="15"/>
        <v>138.78689999999997</v>
      </c>
      <c r="V26" s="2">
        <f t="shared" si="15"/>
        <v>0</v>
      </c>
      <c r="W26" s="2">
        <f t="shared" si="15"/>
        <v>0</v>
      </c>
      <c r="X26" s="2">
        <f t="shared" si="15"/>
        <v>47215.33</v>
      </c>
      <c r="Y26" s="2">
        <f t="shared" si="15"/>
        <v>6745.06</v>
      </c>
      <c r="Z26" s="2">
        <f t="shared" si="15"/>
        <v>0</v>
      </c>
      <c r="AA26" s="2">
        <f t="shared" si="15"/>
        <v>0</v>
      </c>
      <c r="AB26" s="2">
        <f t="shared" si="15"/>
        <v>99103.16</v>
      </c>
      <c r="AC26" s="2">
        <f t="shared" si="15"/>
        <v>10712.64</v>
      </c>
      <c r="AD26" s="2">
        <f t="shared" si="15"/>
        <v>20940.05</v>
      </c>
      <c r="AE26" s="2">
        <f t="shared" si="15"/>
        <v>11351.39</v>
      </c>
      <c r="AF26" s="2">
        <f t="shared" si="15"/>
        <v>67450.47</v>
      </c>
      <c r="AG26" s="2">
        <f t="shared" si="15"/>
        <v>0</v>
      </c>
      <c r="AH26" s="2">
        <f t="shared" si="15"/>
        <v>138.78689999999997</v>
      </c>
      <c r="AI26" s="2">
        <f t="shared" si="15"/>
        <v>0</v>
      </c>
      <c r="AJ26" s="2">
        <f t="shared" si="15"/>
        <v>0</v>
      </c>
      <c r="AK26" s="2">
        <f t="shared" si="15"/>
        <v>47215.33</v>
      </c>
      <c r="AL26" s="2">
        <f t="shared" si="15"/>
        <v>6745.06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165323.04999999999</v>
      </c>
      <c r="AS26" s="2">
        <f t="shared" si="15"/>
        <v>0</v>
      </c>
      <c r="AT26" s="2">
        <f t="shared" si="15"/>
        <v>0</v>
      </c>
      <c r="AU26" s="2">
        <f t="shared" ref="AU26:BZ26" si="16">AU43</f>
        <v>165323.04999999999</v>
      </c>
      <c r="AV26" s="2">
        <f t="shared" si="16"/>
        <v>10712.64</v>
      </c>
      <c r="AW26" s="2">
        <f t="shared" si="16"/>
        <v>10712.64</v>
      </c>
      <c r="AX26" s="2">
        <f t="shared" si="16"/>
        <v>0</v>
      </c>
      <c r="AY26" s="2">
        <f t="shared" si="16"/>
        <v>10712.64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165323.04999999999</v>
      </c>
      <c r="CB26" s="2">
        <f t="shared" si="17"/>
        <v>0</v>
      </c>
      <c r="CC26" s="2">
        <f t="shared" si="17"/>
        <v>0</v>
      </c>
      <c r="CD26" s="2">
        <f t="shared" si="17"/>
        <v>165323.04999999999</v>
      </c>
      <c r="CE26" s="2">
        <f t="shared" si="17"/>
        <v>10712.64</v>
      </c>
      <c r="CF26" s="2">
        <f t="shared" si="17"/>
        <v>10712.64</v>
      </c>
      <c r="CG26" s="2">
        <f t="shared" si="17"/>
        <v>0</v>
      </c>
      <c r="CH26" s="2">
        <f t="shared" si="17"/>
        <v>10712.64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ROW(EtalonRes!A1)</f>
        <v>1</v>
      </c>
      <c r="E28" t="s">
        <v>15</v>
      </c>
      <c r="F28" t="s">
        <v>16</v>
      </c>
      <c r="G28" t="s">
        <v>17</v>
      </c>
      <c r="H28" t="s">
        <v>18</v>
      </c>
      <c r="I28">
        <f>ROUND((2445)*0.25*0.1/100,9)</f>
        <v>0.61124999999999996</v>
      </c>
      <c r="J28">
        <v>0</v>
      </c>
      <c r="K28">
        <f>ROUND((2445)*0.25*0.1/100,9)</f>
        <v>0.61124999999999996</v>
      </c>
      <c r="O28">
        <f t="shared" ref="O28:O41" si="21">ROUND(CP28,2)</f>
        <v>1062.67</v>
      </c>
      <c r="P28">
        <f t="shared" ref="P28:P41" si="22">ROUND(CQ28*I28,2)</f>
        <v>0</v>
      </c>
      <c r="Q28">
        <f t="shared" ref="Q28:Q41" si="23">ROUND(CR28*I28,2)</f>
        <v>0</v>
      </c>
      <c r="R28">
        <f t="shared" ref="R28:R41" si="24">ROUND(CS28*I28,2)</f>
        <v>0</v>
      </c>
      <c r="S28">
        <f t="shared" ref="S28:S41" si="25">ROUND(CT28*I28,2)</f>
        <v>1062.67</v>
      </c>
      <c r="T28">
        <f t="shared" ref="T28:T41" si="26">ROUND(CU28*I28,2)</f>
        <v>0</v>
      </c>
      <c r="U28">
        <f t="shared" ref="U28:U41" si="27">CV28*I28</f>
        <v>2.2004999999999999</v>
      </c>
      <c r="V28">
        <f t="shared" ref="V28:V41" si="28">CW28*I28</f>
        <v>0</v>
      </c>
      <c r="W28">
        <f t="shared" ref="W28:W41" si="29">ROUND(CX28*I28,2)</f>
        <v>0</v>
      </c>
      <c r="X28">
        <f t="shared" ref="X28:X41" si="30">ROUND(CY28,2)</f>
        <v>743.87</v>
      </c>
      <c r="Y28">
        <f t="shared" ref="Y28:Y41" si="31">ROUND(CZ28,2)</f>
        <v>106.27</v>
      </c>
      <c r="AA28">
        <v>1407491423</v>
      </c>
      <c r="AB28">
        <f t="shared" ref="AB28:AB41" si="32">ROUND((AC28+AD28+AF28),6)</f>
        <v>1738.52</v>
      </c>
      <c r="AC28">
        <f>ROUND(((ES28*4)),6)</f>
        <v>0</v>
      </c>
      <c r="AD28">
        <f>ROUND(((((ET28*4))-((EU28*4)))+AE28),6)</f>
        <v>0</v>
      </c>
      <c r="AE28">
        <f>ROUND(((EU28*4)),6)</f>
        <v>0</v>
      </c>
      <c r="AF28">
        <f>ROUND(((EV28*4)),6)</f>
        <v>1738.52</v>
      </c>
      <c r="AG28">
        <f t="shared" ref="AG28:AG41" si="33">ROUND((AP28),6)</f>
        <v>0</v>
      </c>
      <c r="AH28">
        <f>((EW28*4))</f>
        <v>3.6</v>
      </c>
      <c r="AI28">
        <f>((EX28*4))</f>
        <v>0</v>
      </c>
      <c r="AJ28">
        <f t="shared" ref="AJ28:AJ41" si="34">(AS28)</f>
        <v>0</v>
      </c>
      <c r="AK28">
        <v>434.63</v>
      </c>
      <c r="AL28">
        <v>0</v>
      </c>
      <c r="AM28">
        <v>0</v>
      </c>
      <c r="AN28">
        <v>0</v>
      </c>
      <c r="AO28">
        <v>434.63</v>
      </c>
      <c r="AP28">
        <v>0</v>
      </c>
      <c r="AQ28">
        <v>0.9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35">(P28+Q28+S28)</f>
        <v>1062.67</v>
      </c>
      <c r="CQ28">
        <f t="shared" ref="CQ28:CQ41" si="36">(AC28*BC28*AW28)</f>
        <v>0</v>
      </c>
      <c r="CR28">
        <f>(((((ET28*4))*BB28-((EU28*4))*BS28)+AE28*BS28)*AV28)</f>
        <v>0</v>
      </c>
      <c r="CS28">
        <f t="shared" ref="CS28:CS41" si="37">(AE28*BS28*AV28)</f>
        <v>0</v>
      </c>
      <c r="CT28">
        <f t="shared" ref="CT28:CT41" si="38">(AF28*BA28*AV28)</f>
        <v>1738.52</v>
      </c>
      <c r="CU28">
        <f t="shared" ref="CU28:CU41" si="39">AG28</f>
        <v>0</v>
      </c>
      <c r="CV28">
        <f t="shared" ref="CV28:CV41" si="40">(AH28*AV28)</f>
        <v>3.6</v>
      </c>
      <c r="CW28">
        <f t="shared" ref="CW28:CW41" si="41">AI28</f>
        <v>0</v>
      </c>
      <c r="CX28">
        <f t="shared" ref="CX28:CX41" si="42">AJ28</f>
        <v>0</v>
      </c>
      <c r="CY28">
        <f t="shared" ref="CY28:CY41" si="43">((S28*BZ28)/100)</f>
        <v>743.86900000000014</v>
      </c>
      <c r="CZ28">
        <f t="shared" ref="CZ28:CZ41" si="44">((S28*CA28)/100)</f>
        <v>106.26700000000001</v>
      </c>
      <c r="DC28" t="s">
        <v>3</v>
      </c>
      <c r="DD28" t="s">
        <v>20</v>
      </c>
      <c r="DE28" t="s">
        <v>20</v>
      </c>
      <c r="DF28" t="s">
        <v>20</v>
      </c>
      <c r="DG28" t="s">
        <v>20</v>
      </c>
      <c r="DH28" t="s">
        <v>3</v>
      </c>
      <c r="DI28" t="s">
        <v>20</v>
      </c>
      <c r="DJ28" t="s">
        <v>20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18</v>
      </c>
      <c r="DW28" t="s">
        <v>18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1364533919</v>
      </c>
      <c r="EF28">
        <v>1</v>
      </c>
      <c r="EG28" t="s">
        <v>21</v>
      </c>
      <c r="EH28">
        <v>0</v>
      </c>
      <c r="EI28" t="s">
        <v>3</v>
      </c>
      <c r="EJ28">
        <v>4</v>
      </c>
      <c r="EK28">
        <v>0</v>
      </c>
      <c r="EL28" t="s">
        <v>22</v>
      </c>
      <c r="EM28" t="s">
        <v>23</v>
      </c>
      <c r="EO28" t="s">
        <v>3</v>
      </c>
      <c r="EQ28">
        <v>0</v>
      </c>
      <c r="ER28">
        <v>434.63</v>
      </c>
      <c r="ES28">
        <v>0</v>
      </c>
      <c r="ET28">
        <v>0</v>
      </c>
      <c r="EU28">
        <v>0</v>
      </c>
      <c r="EV28">
        <v>434.63</v>
      </c>
      <c r="EW28">
        <v>0.9</v>
      </c>
      <c r="EX28">
        <v>0</v>
      </c>
      <c r="EY28">
        <v>0</v>
      </c>
      <c r="FQ28">
        <v>0</v>
      </c>
      <c r="FR28">
        <f t="shared" ref="FR28:FR41" si="45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527005660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41" si="46">ROUND(IF(AND(BH28=3,BI28=3,FS28&lt;&gt;0),P28,0),2)</f>
        <v>0</v>
      </c>
      <c r="GM28">
        <f t="shared" ref="GM28:GM41" si="47">ROUND(O28+X28+Y28+GK28,2)+GX28</f>
        <v>1912.81</v>
      </c>
      <c r="GN28">
        <f t="shared" ref="GN28:GN41" si="48">IF(OR(BI28=0,BI28=1),ROUND(O28+X28+Y28+GK28,2),0)</f>
        <v>0</v>
      </c>
      <c r="GO28">
        <f t="shared" ref="GO28:GO41" si="49">IF(BI28=2,ROUND(O28+X28+Y28+GK28,2),0)</f>
        <v>0</v>
      </c>
      <c r="GP28">
        <f t="shared" ref="GP28:GP41" si="50">IF(BI28=4,ROUND(O28+X28+Y28+GK28,2)+GX28,0)</f>
        <v>1912.81</v>
      </c>
      <c r="GR28">
        <v>0</v>
      </c>
      <c r="GS28">
        <v>3</v>
      </c>
      <c r="GT28">
        <v>0</v>
      </c>
      <c r="GU28" t="s">
        <v>3</v>
      </c>
      <c r="GV28">
        <f t="shared" ref="GV28:GV41" si="51">ROUND((GT28),6)</f>
        <v>0</v>
      </c>
      <c r="GW28">
        <v>1</v>
      </c>
      <c r="GX28">
        <f t="shared" ref="GX28:GX41" si="52">ROUND(HC28*I28,2)</f>
        <v>0</v>
      </c>
      <c r="HA28">
        <v>0</v>
      </c>
      <c r="HB28">
        <v>0</v>
      </c>
      <c r="HC28">
        <f t="shared" ref="HC28:HC41" si="53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ROW(EtalonRes!A2)</f>
        <v>2</v>
      </c>
      <c r="E29" t="s">
        <v>24</v>
      </c>
      <c r="F29" t="s">
        <v>25</v>
      </c>
      <c r="G29" t="s">
        <v>26</v>
      </c>
      <c r="H29" t="s">
        <v>18</v>
      </c>
      <c r="I29">
        <f>ROUND((2445)*0.75*0.1/100,9)</f>
        <v>1.83375</v>
      </c>
      <c r="J29">
        <v>0</v>
      </c>
      <c r="K29">
        <f>ROUND((2445)*0.75*0.1/100,9)</f>
        <v>1.83375</v>
      </c>
      <c r="O29">
        <f t="shared" si="21"/>
        <v>9351.39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9351.39</v>
      </c>
      <c r="T29">
        <f t="shared" si="26"/>
        <v>0</v>
      </c>
      <c r="U29">
        <f t="shared" si="27"/>
        <v>19.3644</v>
      </c>
      <c r="V29">
        <f t="shared" si="28"/>
        <v>0</v>
      </c>
      <c r="W29">
        <f t="shared" si="29"/>
        <v>0</v>
      </c>
      <c r="X29">
        <f t="shared" si="30"/>
        <v>6545.97</v>
      </c>
      <c r="Y29">
        <f t="shared" si="31"/>
        <v>935.14</v>
      </c>
      <c r="AA29">
        <v>1407491423</v>
      </c>
      <c r="AB29">
        <f t="shared" si="32"/>
        <v>5099.6000000000004</v>
      </c>
      <c r="AC29">
        <f>ROUND(((ES29*4)),6)</f>
        <v>0</v>
      </c>
      <c r="AD29">
        <f>ROUND(((((ET29*4))-((EU29*4)))+AE29),6)</f>
        <v>0</v>
      </c>
      <c r="AE29">
        <f>ROUND(((EU29*4)),6)</f>
        <v>0</v>
      </c>
      <c r="AF29">
        <f>ROUND(((EV29*4)),6)</f>
        <v>5099.6000000000004</v>
      </c>
      <c r="AG29">
        <f t="shared" si="33"/>
        <v>0</v>
      </c>
      <c r="AH29">
        <f>((EW29*4))</f>
        <v>10.56</v>
      </c>
      <c r="AI29">
        <f>((EX29*4))</f>
        <v>0</v>
      </c>
      <c r="AJ29">
        <f t="shared" si="34"/>
        <v>0</v>
      </c>
      <c r="AK29">
        <v>1274.9000000000001</v>
      </c>
      <c r="AL29">
        <v>0</v>
      </c>
      <c r="AM29">
        <v>0</v>
      </c>
      <c r="AN29">
        <v>0</v>
      </c>
      <c r="AO29">
        <v>1274.9000000000001</v>
      </c>
      <c r="AP29">
        <v>0</v>
      </c>
      <c r="AQ29">
        <v>2.64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5"/>
        <v>9351.39</v>
      </c>
      <c r="CQ29">
        <f t="shared" si="36"/>
        <v>0</v>
      </c>
      <c r="CR29">
        <f>(((((ET29*4))*BB29-((EU29*4))*BS29)+AE29*BS29)*AV29)</f>
        <v>0</v>
      </c>
      <c r="CS29">
        <f t="shared" si="37"/>
        <v>0</v>
      </c>
      <c r="CT29">
        <f t="shared" si="38"/>
        <v>5099.6000000000004</v>
      </c>
      <c r="CU29">
        <f t="shared" si="39"/>
        <v>0</v>
      </c>
      <c r="CV29">
        <f t="shared" si="40"/>
        <v>10.56</v>
      </c>
      <c r="CW29">
        <f t="shared" si="41"/>
        <v>0</v>
      </c>
      <c r="CX29">
        <f t="shared" si="42"/>
        <v>0</v>
      </c>
      <c r="CY29">
        <f t="shared" si="43"/>
        <v>6545.972999999999</v>
      </c>
      <c r="CZ29">
        <f t="shared" si="44"/>
        <v>935.1389999999999</v>
      </c>
      <c r="DC29" t="s">
        <v>3</v>
      </c>
      <c r="DD29" t="s">
        <v>20</v>
      </c>
      <c r="DE29" t="s">
        <v>20</v>
      </c>
      <c r="DF29" t="s">
        <v>20</v>
      </c>
      <c r="DG29" t="s">
        <v>20</v>
      </c>
      <c r="DH29" t="s">
        <v>3</v>
      </c>
      <c r="DI29" t="s">
        <v>20</v>
      </c>
      <c r="DJ29" t="s">
        <v>20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18</v>
      </c>
      <c r="DW29" t="s">
        <v>18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1364533919</v>
      </c>
      <c r="EF29">
        <v>1</v>
      </c>
      <c r="EG29" t="s">
        <v>21</v>
      </c>
      <c r="EH29">
        <v>0</v>
      </c>
      <c r="EI29" t="s">
        <v>3</v>
      </c>
      <c r="EJ29">
        <v>4</v>
      </c>
      <c r="EK29">
        <v>0</v>
      </c>
      <c r="EL29" t="s">
        <v>22</v>
      </c>
      <c r="EM29" t="s">
        <v>23</v>
      </c>
      <c r="EO29" t="s">
        <v>3</v>
      </c>
      <c r="EQ29">
        <v>0</v>
      </c>
      <c r="ER29">
        <v>1274.9000000000001</v>
      </c>
      <c r="ES29">
        <v>0</v>
      </c>
      <c r="ET29">
        <v>0</v>
      </c>
      <c r="EU29">
        <v>0</v>
      </c>
      <c r="EV29">
        <v>1274.9000000000001</v>
      </c>
      <c r="EW29">
        <v>2.64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-1003523402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6"/>
        <v>0</v>
      </c>
      <c r="GM29">
        <f t="shared" si="47"/>
        <v>16832.5</v>
      </c>
      <c r="GN29">
        <f t="shared" si="48"/>
        <v>0</v>
      </c>
      <c r="GO29">
        <f t="shared" si="49"/>
        <v>0</v>
      </c>
      <c r="GP29">
        <f t="shared" si="50"/>
        <v>16832.5</v>
      </c>
      <c r="GR29">
        <v>0</v>
      </c>
      <c r="GS29">
        <v>3</v>
      </c>
      <c r="GT29">
        <v>0</v>
      </c>
      <c r="GU29" t="s">
        <v>3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ROW(EtalonRes!A5)</f>
        <v>5</v>
      </c>
      <c r="E30" t="s">
        <v>3</v>
      </c>
      <c r="F30" t="s">
        <v>28</v>
      </c>
      <c r="G30" t="s">
        <v>29</v>
      </c>
      <c r="H30" t="s">
        <v>18</v>
      </c>
      <c r="I30">
        <f>ROUND(2445/100,9)</f>
        <v>24.45</v>
      </c>
      <c r="J30">
        <v>0</v>
      </c>
      <c r="K30">
        <f>ROUND(2445/100,9)</f>
        <v>24.45</v>
      </c>
      <c r="O30">
        <f t="shared" si="21"/>
        <v>35188.44</v>
      </c>
      <c r="P30">
        <f t="shared" si="22"/>
        <v>1254.77</v>
      </c>
      <c r="Q30">
        <f t="shared" si="23"/>
        <v>205.38</v>
      </c>
      <c r="R30">
        <f t="shared" si="24"/>
        <v>0.98</v>
      </c>
      <c r="S30">
        <f t="shared" si="25"/>
        <v>33728.29</v>
      </c>
      <c r="T30">
        <f t="shared" si="26"/>
        <v>0</v>
      </c>
      <c r="U30">
        <f t="shared" si="27"/>
        <v>59.168999999999997</v>
      </c>
      <c r="V30">
        <f t="shared" si="28"/>
        <v>0</v>
      </c>
      <c r="W30">
        <f t="shared" si="29"/>
        <v>0</v>
      </c>
      <c r="X30">
        <f t="shared" si="30"/>
        <v>23609.8</v>
      </c>
      <c r="Y30">
        <f t="shared" si="31"/>
        <v>3372.83</v>
      </c>
      <c r="AA30">
        <v>-1</v>
      </c>
      <c r="AB30">
        <f t="shared" si="32"/>
        <v>1439.2</v>
      </c>
      <c r="AC30">
        <f>ROUND((ES30),6)</f>
        <v>51.32</v>
      </c>
      <c r="AD30">
        <f>ROUND((((ET30)-(EU30))+AE30),6)</f>
        <v>8.4</v>
      </c>
      <c r="AE30">
        <f t="shared" ref="AE30:AF33" si="54">ROUND((EU30),6)</f>
        <v>0.04</v>
      </c>
      <c r="AF30">
        <f t="shared" si="54"/>
        <v>1379.48</v>
      </c>
      <c r="AG30">
        <f t="shared" si="33"/>
        <v>0</v>
      </c>
      <c r="AH30">
        <f t="shared" ref="AH30:AI33" si="55">(EW30)</f>
        <v>2.42</v>
      </c>
      <c r="AI30">
        <f t="shared" si="55"/>
        <v>0</v>
      </c>
      <c r="AJ30">
        <f t="shared" si="34"/>
        <v>0</v>
      </c>
      <c r="AK30">
        <v>1439.2</v>
      </c>
      <c r="AL30">
        <v>51.32</v>
      </c>
      <c r="AM30">
        <v>8.4</v>
      </c>
      <c r="AN30">
        <v>0.04</v>
      </c>
      <c r="AO30">
        <v>1379.48</v>
      </c>
      <c r="AP30">
        <v>0</v>
      </c>
      <c r="AQ30">
        <v>2.42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30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5"/>
        <v>35188.44</v>
      </c>
      <c r="CQ30">
        <f t="shared" si="36"/>
        <v>51.32</v>
      </c>
      <c r="CR30">
        <f>((((ET30)*BB30-(EU30)*BS30)+AE30*BS30)*AV30)</f>
        <v>8.4</v>
      </c>
      <c r="CS30">
        <f t="shared" si="37"/>
        <v>0.04</v>
      </c>
      <c r="CT30">
        <f t="shared" si="38"/>
        <v>1379.48</v>
      </c>
      <c r="CU30">
        <f t="shared" si="39"/>
        <v>0</v>
      </c>
      <c r="CV30">
        <f t="shared" si="40"/>
        <v>2.42</v>
      </c>
      <c r="CW30">
        <f t="shared" si="41"/>
        <v>0</v>
      </c>
      <c r="CX30">
        <f t="shared" si="42"/>
        <v>0</v>
      </c>
      <c r="CY30">
        <f t="shared" si="43"/>
        <v>23609.803000000004</v>
      </c>
      <c r="CZ30">
        <f t="shared" si="44"/>
        <v>3372.8290000000002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18</v>
      </c>
      <c r="DW30" t="s">
        <v>18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1364533919</v>
      </c>
      <c r="EF30">
        <v>1</v>
      </c>
      <c r="EG30" t="s">
        <v>21</v>
      </c>
      <c r="EH30">
        <v>0</v>
      </c>
      <c r="EI30" t="s">
        <v>3</v>
      </c>
      <c r="EJ30">
        <v>4</v>
      </c>
      <c r="EK30">
        <v>0</v>
      </c>
      <c r="EL30" t="s">
        <v>22</v>
      </c>
      <c r="EM30" t="s">
        <v>23</v>
      </c>
      <c r="EO30" t="s">
        <v>3</v>
      </c>
      <c r="EQ30">
        <v>1024</v>
      </c>
      <c r="ER30">
        <v>1439.2</v>
      </c>
      <c r="ES30">
        <v>51.32</v>
      </c>
      <c r="ET30">
        <v>8.4</v>
      </c>
      <c r="EU30">
        <v>0.04</v>
      </c>
      <c r="EV30">
        <v>1379.48</v>
      </c>
      <c r="EW30">
        <v>2.42</v>
      </c>
      <c r="EX30">
        <v>0</v>
      </c>
      <c r="EY30">
        <v>0</v>
      </c>
      <c r="FQ30">
        <v>0</v>
      </c>
      <c r="FR30">
        <f t="shared" si="45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1939286539</v>
      </c>
      <c r="GG30">
        <v>2</v>
      </c>
      <c r="GH30">
        <v>1</v>
      </c>
      <c r="GI30">
        <v>-2</v>
      </c>
      <c r="GJ30">
        <v>0</v>
      </c>
      <c r="GK30">
        <f>ROUND(R30*(R12)/100,2)</f>
        <v>1.06</v>
      </c>
      <c r="GL30">
        <f t="shared" si="46"/>
        <v>0</v>
      </c>
      <c r="GM30">
        <f t="shared" si="47"/>
        <v>62172.13</v>
      </c>
      <c r="GN30">
        <f t="shared" si="48"/>
        <v>0</v>
      </c>
      <c r="GO30">
        <f t="shared" si="49"/>
        <v>0</v>
      </c>
      <c r="GP30">
        <f t="shared" si="50"/>
        <v>62172.13</v>
      </c>
      <c r="GR30">
        <v>0</v>
      </c>
      <c r="GS30">
        <v>3</v>
      </c>
      <c r="GT30">
        <v>0</v>
      </c>
      <c r="GU30" t="s">
        <v>3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ROW(EtalonRes!A7)</f>
        <v>7</v>
      </c>
      <c r="E31" t="s">
        <v>3</v>
      </c>
      <c r="F31" t="s">
        <v>31</v>
      </c>
      <c r="G31" t="s">
        <v>32</v>
      </c>
      <c r="H31" t="s">
        <v>18</v>
      </c>
      <c r="I31">
        <f>ROUND(2445/100,9)</f>
        <v>24.45</v>
      </c>
      <c r="J31">
        <v>0</v>
      </c>
      <c r="K31">
        <f>ROUND(2445/100,9)</f>
        <v>24.45</v>
      </c>
      <c r="O31">
        <f t="shared" si="21"/>
        <v>165163.66</v>
      </c>
      <c r="P31">
        <f t="shared" si="22"/>
        <v>1218.3399999999999</v>
      </c>
      <c r="Q31">
        <f t="shared" si="23"/>
        <v>0</v>
      </c>
      <c r="R31">
        <f t="shared" si="24"/>
        <v>0</v>
      </c>
      <c r="S31">
        <f t="shared" si="25"/>
        <v>163945.32</v>
      </c>
      <c r="T31">
        <f t="shared" si="26"/>
        <v>0</v>
      </c>
      <c r="U31">
        <f t="shared" si="27"/>
        <v>260.14800000000002</v>
      </c>
      <c r="V31">
        <f t="shared" si="28"/>
        <v>0</v>
      </c>
      <c r="W31">
        <f t="shared" si="29"/>
        <v>0</v>
      </c>
      <c r="X31">
        <f t="shared" si="30"/>
        <v>114761.72</v>
      </c>
      <c r="Y31">
        <f t="shared" si="31"/>
        <v>16394.53</v>
      </c>
      <c r="AA31">
        <v>-1</v>
      </c>
      <c r="AB31">
        <f t="shared" si="32"/>
        <v>6755.16</v>
      </c>
      <c r="AC31">
        <f>ROUND((ES31),6)</f>
        <v>49.83</v>
      </c>
      <c r="AD31">
        <f>ROUND((((ET31)-(EU31))+AE31),6)</f>
        <v>0</v>
      </c>
      <c r="AE31">
        <f t="shared" si="54"/>
        <v>0</v>
      </c>
      <c r="AF31">
        <f t="shared" si="54"/>
        <v>6705.33</v>
      </c>
      <c r="AG31">
        <f t="shared" si="33"/>
        <v>0</v>
      </c>
      <c r="AH31">
        <f t="shared" si="55"/>
        <v>10.64</v>
      </c>
      <c r="AI31">
        <f t="shared" si="55"/>
        <v>0</v>
      </c>
      <c r="AJ31">
        <f t="shared" si="34"/>
        <v>0</v>
      </c>
      <c r="AK31">
        <v>6755.16</v>
      </c>
      <c r="AL31">
        <v>49.83</v>
      </c>
      <c r="AM31">
        <v>0</v>
      </c>
      <c r="AN31">
        <v>0</v>
      </c>
      <c r="AO31">
        <v>6705.33</v>
      </c>
      <c r="AP31">
        <v>0</v>
      </c>
      <c r="AQ31">
        <v>10.64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33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5"/>
        <v>165163.66</v>
      </c>
      <c r="CQ31">
        <f t="shared" si="36"/>
        <v>49.83</v>
      </c>
      <c r="CR31">
        <f>((((ET31)*BB31-(EU31)*BS31)+AE31*BS31)*AV31)</f>
        <v>0</v>
      </c>
      <c r="CS31">
        <f t="shared" si="37"/>
        <v>0</v>
      </c>
      <c r="CT31">
        <f t="shared" si="38"/>
        <v>6705.33</v>
      </c>
      <c r="CU31">
        <f t="shared" si="39"/>
        <v>0</v>
      </c>
      <c r="CV31">
        <f t="shared" si="40"/>
        <v>10.64</v>
      </c>
      <c r="CW31">
        <f t="shared" si="41"/>
        <v>0</v>
      </c>
      <c r="CX31">
        <f t="shared" si="42"/>
        <v>0</v>
      </c>
      <c r="CY31">
        <f t="shared" si="43"/>
        <v>114761.724</v>
      </c>
      <c r="CZ31">
        <f t="shared" si="44"/>
        <v>16394.532000000003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1003</v>
      </c>
      <c r="DV31" t="s">
        <v>18</v>
      </c>
      <c r="DW31" t="s">
        <v>18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1364533919</v>
      </c>
      <c r="EF31">
        <v>1</v>
      </c>
      <c r="EG31" t="s">
        <v>21</v>
      </c>
      <c r="EH31">
        <v>0</v>
      </c>
      <c r="EI31" t="s">
        <v>3</v>
      </c>
      <c r="EJ31">
        <v>4</v>
      </c>
      <c r="EK31">
        <v>0</v>
      </c>
      <c r="EL31" t="s">
        <v>22</v>
      </c>
      <c r="EM31" t="s">
        <v>23</v>
      </c>
      <c r="EO31" t="s">
        <v>3</v>
      </c>
      <c r="EQ31">
        <v>1024</v>
      </c>
      <c r="ER31">
        <v>6755.16</v>
      </c>
      <c r="ES31">
        <v>49.83</v>
      </c>
      <c r="ET31">
        <v>0</v>
      </c>
      <c r="EU31">
        <v>0</v>
      </c>
      <c r="EV31">
        <v>6705.33</v>
      </c>
      <c r="EW31">
        <v>10.64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849872861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6"/>
        <v>0</v>
      </c>
      <c r="GM31">
        <f t="shared" si="47"/>
        <v>296319.90999999997</v>
      </c>
      <c r="GN31">
        <f t="shared" si="48"/>
        <v>0</v>
      </c>
      <c r="GO31">
        <f t="shared" si="49"/>
        <v>0</v>
      </c>
      <c r="GP31">
        <f t="shared" si="50"/>
        <v>296319.90999999997</v>
      </c>
      <c r="GR31">
        <v>0</v>
      </c>
      <c r="GS31">
        <v>3</v>
      </c>
      <c r="GT31">
        <v>0</v>
      </c>
      <c r="GU31" t="s">
        <v>3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D32">
        <f>ROW(EtalonRes!A10)</f>
        <v>10</v>
      </c>
      <c r="E32" t="s">
        <v>34</v>
      </c>
      <c r="F32" t="s">
        <v>35</v>
      </c>
      <c r="G32" t="s">
        <v>36</v>
      </c>
      <c r="H32" t="s">
        <v>37</v>
      </c>
      <c r="I32">
        <f>ROUND(50/10,9)</f>
        <v>5</v>
      </c>
      <c r="J32">
        <v>0</v>
      </c>
      <c r="K32">
        <f>ROUND(50/10,9)</f>
        <v>5</v>
      </c>
      <c r="O32">
        <f t="shared" si="21"/>
        <v>3175.8</v>
      </c>
      <c r="P32">
        <f t="shared" si="22"/>
        <v>3.4</v>
      </c>
      <c r="Q32">
        <f t="shared" si="23"/>
        <v>9.65</v>
      </c>
      <c r="R32">
        <f t="shared" si="24"/>
        <v>0.05</v>
      </c>
      <c r="S32">
        <f t="shared" si="25"/>
        <v>3162.75</v>
      </c>
      <c r="T32">
        <f t="shared" si="26"/>
        <v>0</v>
      </c>
      <c r="U32">
        <f t="shared" si="27"/>
        <v>6.5</v>
      </c>
      <c r="V32">
        <f t="shared" si="28"/>
        <v>0</v>
      </c>
      <c r="W32">
        <f t="shared" si="29"/>
        <v>0</v>
      </c>
      <c r="X32">
        <f t="shared" si="30"/>
        <v>2213.9299999999998</v>
      </c>
      <c r="Y32">
        <f t="shared" si="31"/>
        <v>316.27999999999997</v>
      </c>
      <c r="AA32">
        <v>1407491423</v>
      </c>
      <c r="AB32">
        <f t="shared" si="32"/>
        <v>635.16</v>
      </c>
      <c r="AC32">
        <f>ROUND((ES32),6)</f>
        <v>0.68</v>
      </c>
      <c r="AD32">
        <f>ROUND((((ET32)-(EU32))+AE32),6)</f>
        <v>1.93</v>
      </c>
      <c r="AE32">
        <f t="shared" si="54"/>
        <v>0.01</v>
      </c>
      <c r="AF32">
        <f t="shared" si="54"/>
        <v>632.54999999999995</v>
      </c>
      <c r="AG32">
        <f t="shared" si="33"/>
        <v>0</v>
      </c>
      <c r="AH32">
        <f t="shared" si="55"/>
        <v>1.3</v>
      </c>
      <c r="AI32">
        <f t="shared" si="55"/>
        <v>0</v>
      </c>
      <c r="AJ32">
        <f t="shared" si="34"/>
        <v>0</v>
      </c>
      <c r="AK32">
        <v>635.16</v>
      </c>
      <c r="AL32">
        <v>0.68</v>
      </c>
      <c r="AM32">
        <v>1.93</v>
      </c>
      <c r="AN32">
        <v>0.01</v>
      </c>
      <c r="AO32">
        <v>632.54999999999995</v>
      </c>
      <c r="AP32">
        <v>0</v>
      </c>
      <c r="AQ32">
        <v>1.3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38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5"/>
        <v>3175.8</v>
      </c>
      <c r="CQ32">
        <f t="shared" si="36"/>
        <v>0.68</v>
      </c>
      <c r="CR32">
        <f>((((ET32)*BB32-(EU32)*BS32)+AE32*BS32)*AV32)</f>
        <v>1.93</v>
      </c>
      <c r="CS32">
        <f t="shared" si="37"/>
        <v>0.01</v>
      </c>
      <c r="CT32">
        <f t="shared" si="38"/>
        <v>632.54999999999995</v>
      </c>
      <c r="CU32">
        <f t="shared" si="39"/>
        <v>0</v>
      </c>
      <c r="CV32">
        <f t="shared" si="40"/>
        <v>1.3</v>
      </c>
      <c r="CW32">
        <f t="shared" si="41"/>
        <v>0</v>
      </c>
      <c r="CX32">
        <f t="shared" si="42"/>
        <v>0</v>
      </c>
      <c r="CY32">
        <f t="shared" si="43"/>
        <v>2213.9250000000002</v>
      </c>
      <c r="CZ32">
        <f t="shared" si="44"/>
        <v>316.27499999999998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37</v>
      </c>
      <c r="DW32" t="s">
        <v>37</v>
      </c>
      <c r="DX32">
        <v>10</v>
      </c>
      <c r="DZ32" t="s">
        <v>3</v>
      </c>
      <c r="EA32" t="s">
        <v>3</v>
      </c>
      <c r="EB32" t="s">
        <v>3</v>
      </c>
      <c r="EC32" t="s">
        <v>3</v>
      </c>
      <c r="EE32">
        <v>1364533919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0</v>
      </c>
      <c r="ER32">
        <v>635.16</v>
      </c>
      <c r="ES32">
        <v>0.68</v>
      </c>
      <c r="ET32">
        <v>1.93</v>
      </c>
      <c r="EU32">
        <v>0.01</v>
      </c>
      <c r="EV32">
        <v>632.54999999999995</v>
      </c>
      <c r="EW32">
        <v>1.3</v>
      </c>
      <c r="EX32">
        <v>0</v>
      </c>
      <c r="EY32">
        <v>0</v>
      </c>
      <c r="FQ32">
        <v>0</v>
      </c>
      <c r="FR32">
        <f t="shared" si="45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-552380259</v>
      </c>
      <c r="GG32">
        <v>2</v>
      </c>
      <c r="GH32">
        <v>1</v>
      </c>
      <c r="GI32">
        <v>-2</v>
      </c>
      <c r="GJ32">
        <v>0</v>
      </c>
      <c r="GK32">
        <f>ROUND(R32*(R12)/100,2)</f>
        <v>0.05</v>
      </c>
      <c r="GL32">
        <f t="shared" si="46"/>
        <v>0</v>
      </c>
      <c r="GM32">
        <f t="shared" si="47"/>
        <v>5706.06</v>
      </c>
      <c r="GN32">
        <f t="shared" si="48"/>
        <v>0</v>
      </c>
      <c r="GO32">
        <f t="shared" si="49"/>
        <v>0</v>
      </c>
      <c r="GP32">
        <f t="shared" si="50"/>
        <v>5706.06</v>
      </c>
      <c r="GR32">
        <v>0</v>
      </c>
      <c r="GS32">
        <v>3</v>
      </c>
      <c r="GT32">
        <v>0</v>
      </c>
      <c r="GU32" t="s">
        <v>3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ROW(EtalonRes!A12)</f>
        <v>12</v>
      </c>
      <c r="E33" t="s">
        <v>39</v>
      </c>
      <c r="F33" t="s">
        <v>40</v>
      </c>
      <c r="G33" t="s">
        <v>41</v>
      </c>
      <c r="H33" t="s">
        <v>42</v>
      </c>
      <c r="I33">
        <v>21</v>
      </c>
      <c r="J33">
        <v>0</v>
      </c>
      <c r="K33">
        <v>21</v>
      </c>
      <c r="O33">
        <f t="shared" si="21"/>
        <v>3349.08</v>
      </c>
      <c r="P33">
        <f t="shared" si="22"/>
        <v>2.52</v>
      </c>
      <c r="Q33">
        <f t="shared" si="23"/>
        <v>0</v>
      </c>
      <c r="R33">
        <f t="shared" si="24"/>
        <v>0</v>
      </c>
      <c r="S33">
        <f t="shared" si="25"/>
        <v>3346.56</v>
      </c>
      <c r="T33">
        <f t="shared" si="26"/>
        <v>0</v>
      </c>
      <c r="U33">
        <f t="shared" si="27"/>
        <v>6.9300000000000006</v>
      </c>
      <c r="V33">
        <f t="shared" si="28"/>
        <v>0</v>
      </c>
      <c r="W33">
        <f t="shared" si="29"/>
        <v>0</v>
      </c>
      <c r="X33">
        <f t="shared" si="30"/>
        <v>2342.59</v>
      </c>
      <c r="Y33">
        <f t="shared" si="31"/>
        <v>334.66</v>
      </c>
      <c r="AA33">
        <v>1407491423</v>
      </c>
      <c r="AB33">
        <f t="shared" si="32"/>
        <v>159.47999999999999</v>
      </c>
      <c r="AC33">
        <f>ROUND((ES33),6)</f>
        <v>0.12</v>
      </c>
      <c r="AD33">
        <f>ROUND((((ET33)-(EU33))+AE33),6)</f>
        <v>0</v>
      </c>
      <c r="AE33">
        <f t="shared" si="54"/>
        <v>0</v>
      </c>
      <c r="AF33">
        <f t="shared" si="54"/>
        <v>159.36000000000001</v>
      </c>
      <c r="AG33">
        <f t="shared" si="33"/>
        <v>0</v>
      </c>
      <c r="AH33">
        <f t="shared" si="55"/>
        <v>0.33</v>
      </c>
      <c r="AI33">
        <f t="shared" si="55"/>
        <v>0</v>
      </c>
      <c r="AJ33">
        <f t="shared" si="34"/>
        <v>0</v>
      </c>
      <c r="AK33">
        <v>159.47999999999999</v>
      </c>
      <c r="AL33">
        <v>0.12</v>
      </c>
      <c r="AM33">
        <v>0</v>
      </c>
      <c r="AN33">
        <v>0</v>
      </c>
      <c r="AO33">
        <v>159.36000000000001</v>
      </c>
      <c r="AP33">
        <v>0</v>
      </c>
      <c r="AQ33">
        <v>0.33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43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5"/>
        <v>3349.08</v>
      </c>
      <c r="CQ33">
        <f t="shared" si="36"/>
        <v>0.12</v>
      </c>
      <c r="CR33">
        <f>((((ET33)*BB33-(EU33)*BS33)+AE33*BS33)*AV33)</f>
        <v>0</v>
      </c>
      <c r="CS33">
        <f t="shared" si="37"/>
        <v>0</v>
      </c>
      <c r="CT33">
        <f t="shared" si="38"/>
        <v>159.36000000000001</v>
      </c>
      <c r="CU33">
        <f t="shared" si="39"/>
        <v>0</v>
      </c>
      <c r="CV33">
        <f t="shared" si="40"/>
        <v>0.33</v>
      </c>
      <c r="CW33">
        <f t="shared" si="41"/>
        <v>0</v>
      </c>
      <c r="CX33">
        <f t="shared" si="42"/>
        <v>0</v>
      </c>
      <c r="CY33">
        <f t="shared" si="43"/>
        <v>2342.5919999999996</v>
      </c>
      <c r="CZ33">
        <f t="shared" si="44"/>
        <v>334.65600000000001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42</v>
      </c>
      <c r="DW33" t="s">
        <v>42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1364533919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0</v>
      </c>
      <c r="ER33">
        <v>159.47999999999999</v>
      </c>
      <c r="ES33">
        <v>0.12</v>
      </c>
      <c r="ET33">
        <v>0</v>
      </c>
      <c r="EU33">
        <v>0</v>
      </c>
      <c r="EV33">
        <v>159.36000000000001</v>
      </c>
      <c r="EW33">
        <v>0.33</v>
      </c>
      <c r="EX33">
        <v>0</v>
      </c>
      <c r="EY33">
        <v>0</v>
      </c>
      <c r="FQ33">
        <v>0</v>
      </c>
      <c r="FR33">
        <f t="shared" si="45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-2117949006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6"/>
        <v>0</v>
      </c>
      <c r="GM33">
        <f t="shared" si="47"/>
        <v>6026.33</v>
      </c>
      <c r="GN33">
        <f t="shared" si="48"/>
        <v>0</v>
      </c>
      <c r="GO33">
        <f t="shared" si="49"/>
        <v>0</v>
      </c>
      <c r="GP33">
        <f t="shared" si="50"/>
        <v>6026.33</v>
      </c>
      <c r="GR33">
        <v>0</v>
      </c>
      <c r="GS33">
        <v>3</v>
      </c>
      <c r="GT33">
        <v>0</v>
      </c>
      <c r="GU33" t="s">
        <v>3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ROW(EtalonRes!A13)</f>
        <v>13</v>
      </c>
      <c r="E34" t="s">
        <v>44</v>
      </c>
      <c r="F34" t="s">
        <v>45</v>
      </c>
      <c r="G34" t="s">
        <v>46</v>
      </c>
      <c r="H34" t="s">
        <v>37</v>
      </c>
      <c r="I34">
        <f>ROUND(9/10,9)</f>
        <v>0.9</v>
      </c>
      <c r="J34">
        <v>0</v>
      </c>
      <c r="K34">
        <f>ROUND(9/10,9)</f>
        <v>0.9</v>
      </c>
      <c r="O34">
        <f t="shared" si="21"/>
        <v>642.64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642.64</v>
      </c>
      <c r="T34">
        <f t="shared" si="26"/>
        <v>0</v>
      </c>
      <c r="U34">
        <f t="shared" si="27"/>
        <v>1.476</v>
      </c>
      <c r="V34">
        <f t="shared" si="28"/>
        <v>0</v>
      </c>
      <c r="W34">
        <f t="shared" si="29"/>
        <v>0</v>
      </c>
      <c r="X34">
        <f t="shared" si="30"/>
        <v>449.85</v>
      </c>
      <c r="Y34">
        <f t="shared" si="31"/>
        <v>64.260000000000005</v>
      </c>
      <c r="AA34">
        <v>1407491423</v>
      </c>
      <c r="AB34">
        <f t="shared" si="32"/>
        <v>714.04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714.04</v>
      </c>
      <c r="AG34">
        <f t="shared" si="33"/>
        <v>0</v>
      </c>
      <c r="AH34">
        <f>((EW34*4))</f>
        <v>1.64</v>
      </c>
      <c r="AI34">
        <f>((EX34*4))</f>
        <v>0</v>
      </c>
      <c r="AJ34">
        <f t="shared" si="34"/>
        <v>0</v>
      </c>
      <c r="AK34">
        <v>178.51</v>
      </c>
      <c r="AL34">
        <v>0</v>
      </c>
      <c r="AM34">
        <v>0</v>
      </c>
      <c r="AN34">
        <v>0</v>
      </c>
      <c r="AO34">
        <v>178.51</v>
      </c>
      <c r="AP34">
        <v>0</v>
      </c>
      <c r="AQ34">
        <v>0.41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47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5"/>
        <v>642.64</v>
      </c>
      <c r="CQ34">
        <f t="shared" si="36"/>
        <v>0</v>
      </c>
      <c r="CR34">
        <f>(((((ET34*4))*BB34-((EU34*4))*BS34)+AE34*BS34)*AV34)</f>
        <v>0</v>
      </c>
      <c r="CS34">
        <f t="shared" si="37"/>
        <v>0</v>
      </c>
      <c r="CT34">
        <f t="shared" si="38"/>
        <v>714.04</v>
      </c>
      <c r="CU34">
        <f t="shared" si="39"/>
        <v>0</v>
      </c>
      <c r="CV34">
        <f t="shared" si="40"/>
        <v>1.64</v>
      </c>
      <c r="CW34">
        <f t="shared" si="41"/>
        <v>0</v>
      </c>
      <c r="CX34">
        <f t="shared" si="42"/>
        <v>0</v>
      </c>
      <c r="CY34">
        <f t="shared" si="43"/>
        <v>449.84799999999996</v>
      </c>
      <c r="CZ34">
        <f t="shared" si="44"/>
        <v>64.263999999999996</v>
      </c>
      <c r="DC34" t="s">
        <v>3</v>
      </c>
      <c r="DD34" t="s">
        <v>20</v>
      </c>
      <c r="DE34" t="s">
        <v>20</v>
      </c>
      <c r="DF34" t="s">
        <v>20</v>
      </c>
      <c r="DG34" t="s">
        <v>20</v>
      </c>
      <c r="DH34" t="s">
        <v>3</v>
      </c>
      <c r="DI34" t="s">
        <v>20</v>
      </c>
      <c r="DJ34" t="s">
        <v>20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37</v>
      </c>
      <c r="DW34" t="s">
        <v>37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1364533919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178.51</v>
      </c>
      <c r="ES34">
        <v>0</v>
      </c>
      <c r="ET34">
        <v>0</v>
      </c>
      <c r="EU34">
        <v>0</v>
      </c>
      <c r="EV34">
        <v>178.51</v>
      </c>
      <c r="EW34">
        <v>0.41</v>
      </c>
      <c r="EX34">
        <v>0</v>
      </c>
      <c r="EY34">
        <v>0</v>
      </c>
      <c r="FQ34">
        <v>0</v>
      </c>
      <c r="FR34">
        <f t="shared" si="45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-767256497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6"/>
        <v>0</v>
      </c>
      <c r="GM34">
        <f t="shared" si="47"/>
        <v>1156.75</v>
      </c>
      <c r="GN34">
        <f t="shared" si="48"/>
        <v>0</v>
      </c>
      <c r="GO34">
        <f t="shared" si="49"/>
        <v>0</v>
      </c>
      <c r="GP34">
        <f t="shared" si="50"/>
        <v>1156.75</v>
      </c>
      <c r="GR34">
        <v>0</v>
      </c>
      <c r="GS34">
        <v>3</v>
      </c>
      <c r="GT34">
        <v>0</v>
      </c>
      <c r="GU34" t="s">
        <v>3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ROW(EtalonRes!A16)</f>
        <v>16</v>
      </c>
      <c r="E35" t="s">
        <v>48</v>
      </c>
      <c r="F35" t="s">
        <v>49</v>
      </c>
      <c r="G35" t="s">
        <v>50</v>
      </c>
      <c r="H35" t="s">
        <v>42</v>
      </c>
      <c r="I35">
        <v>9</v>
      </c>
      <c r="J35">
        <v>0</v>
      </c>
      <c r="K35">
        <v>9</v>
      </c>
      <c r="O35">
        <f t="shared" si="21"/>
        <v>1373.4</v>
      </c>
      <c r="P35">
        <f t="shared" si="22"/>
        <v>32.94</v>
      </c>
      <c r="Q35">
        <f t="shared" si="23"/>
        <v>3.78</v>
      </c>
      <c r="R35">
        <f t="shared" si="24"/>
        <v>0</v>
      </c>
      <c r="S35">
        <f t="shared" si="25"/>
        <v>1336.68</v>
      </c>
      <c r="T35">
        <f t="shared" si="26"/>
        <v>0</v>
      </c>
      <c r="U35">
        <f t="shared" si="27"/>
        <v>2.5200000000000005</v>
      </c>
      <c r="V35">
        <f t="shared" si="28"/>
        <v>0</v>
      </c>
      <c r="W35">
        <f t="shared" si="29"/>
        <v>0</v>
      </c>
      <c r="X35">
        <f t="shared" si="30"/>
        <v>935.68</v>
      </c>
      <c r="Y35">
        <f t="shared" si="31"/>
        <v>133.66999999999999</v>
      </c>
      <c r="AA35">
        <v>1407491423</v>
      </c>
      <c r="AB35">
        <f t="shared" si="32"/>
        <v>152.6</v>
      </c>
      <c r="AC35">
        <f>ROUND(((ES35*2)),6)</f>
        <v>3.66</v>
      </c>
      <c r="AD35">
        <f>ROUND(((((ET35*2))-((EU35*2)))+AE35),6)</f>
        <v>0.42</v>
      </c>
      <c r="AE35">
        <f>ROUND(((EU35*2)),6)</f>
        <v>0</v>
      </c>
      <c r="AF35">
        <f>ROUND(((EV35*2)),6)</f>
        <v>148.52000000000001</v>
      </c>
      <c r="AG35">
        <f t="shared" si="33"/>
        <v>0</v>
      </c>
      <c r="AH35">
        <f>((EW35*2))</f>
        <v>0.28000000000000003</v>
      </c>
      <c r="AI35">
        <f>((EX35*2))</f>
        <v>0</v>
      </c>
      <c r="AJ35">
        <f t="shared" si="34"/>
        <v>0</v>
      </c>
      <c r="AK35">
        <v>76.3</v>
      </c>
      <c r="AL35">
        <v>1.83</v>
      </c>
      <c r="AM35">
        <v>0.21</v>
      </c>
      <c r="AN35">
        <v>0</v>
      </c>
      <c r="AO35">
        <v>74.260000000000005</v>
      </c>
      <c r="AP35">
        <v>0</v>
      </c>
      <c r="AQ35">
        <v>0.14000000000000001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51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5"/>
        <v>1373.4</v>
      </c>
      <c r="CQ35">
        <f t="shared" si="36"/>
        <v>3.66</v>
      </c>
      <c r="CR35">
        <f>(((((ET35*2))*BB35-((EU35*2))*BS35)+AE35*BS35)*AV35)</f>
        <v>0.42</v>
      </c>
      <c r="CS35">
        <f t="shared" si="37"/>
        <v>0</v>
      </c>
      <c r="CT35">
        <f t="shared" si="38"/>
        <v>148.52000000000001</v>
      </c>
      <c r="CU35">
        <f t="shared" si="39"/>
        <v>0</v>
      </c>
      <c r="CV35">
        <f t="shared" si="40"/>
        <v>0.28000000000000003</v>
      </c>
      <c r="CW35">
        <f t="shared" si="41"/>
        <v>0</v>
      </c>
      <c r="CX35">
        <f t="shared" si="42"/>
        <v>0</v>
      </c>
      <c r="CY35">
        <f t="shared" si="43"/>
        <v>935.67600000000004</v>
      </c>
      <c r="CZ35">
        <f t="shared" si="44"/>
        <v>133.66800000000001</v>
      </c>
      <c r="DC35" t="s">
        <v>3</v>
      </c>
      <c r="DD35" t="s">
        <v>52</v>
      </c>
      <c r="DE35" t="s">
        <v>52</v>
      </c>
      <c r="DF35" t="s">
        <v>52</v>
      </c>
      <c r="DG35" t="s">
        <v>52</v>
      </c>
      <c r="DH35" t="s">
        <v>3</v>
      </c>
      <c r="DI35" t="s">
        <v>52</v>
      </c>
      <c r="DJ35" t="s">
        <v>52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42</v>
      </c>
      <c r="DW35" t="s">
        <v>42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1364533919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76.3</v>
      </c>
      <c r="ES35">
        <v>1.83</v>
      </c>
      <c r="ET35">
        <v>0.21</v>
      </c>
      <c r="EU35">
        <v>0</v>
      </c>
      <c r="EV35">
        <v>74.260000000000005</v>
      </c>
      <c r="EW35">
        <v>0.14000000000000001</v>
      </c>
      <c r="EX35">
        <v>0</v>
      </c>
      <c r="EY35">
        <v>0</v>
      </c>
      <c r="FQ35">
        <v>0</v>
      </c>
      <c r="FR35">
        <f t="shared" si="45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855249226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46"/>
        <v>0</v>
      </c>
      <c r="GM35">
        <f t="shared" si="47"/>
        <v>2442.75</v>
      </c>
      <c r="GN35">
        <f t="shared" si="48"/>
        <v>0</v>
      </c>
      <c r="GO35">
        <f t="shared" si="49"/>
        <v>0</v>
      </c>
      <c r="GP35">
        <f t="shared" si="50"/>
        <v>2442.75</v>
      </c>
      <c r="GR35">
        <v>0</v>
      </c>
      <c r="GS35">
        <v>3</v>
      </c>
      <c r="GT35">
        <v>0</v>
      </c>
      <c r="GU35" t="s">
        <v>3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ROW(EtalonRes!A18)</f>
        <v>18</v>
      </c>
      <c r="E36" t="s">
        <v>53</v>
      </c>
      <c r="F36" t="s">
        <v>54</v>
      </c>
      <c r="G36" t="s">
        <v>55</v>
      </c>
      <c r="H36" t="s">
        <v>42</v>
      </c>
      <c r="I36">
        <v>111</v>
      </c>
      <c r="J36">
        <v>0</v>
      </c>
      <c r="K36">
        <v>111</v>
      </c>
      <c r="O36">
        <f t="shared" si="21"/>
        <v>59520.42</v>
      </c>
      <c r="P36">
        <f t="shared" si="22"/>
        <v>0</v>
      </c>
      <c r="Q36">
        <f t="shared" si="23"/>
        <v>19853.46</v>
      </c>
      <c r="R36">
        <f t="shared" si="24"/>
        <v>10769.22</v>
      </c>
      <c r="S36">
        <f t="shared" si="25"/>
        <v>39666.959999999999</v>
      </c>
      <c r="T36">
        <f t="shared" si="26"/>
        <v>0</v>
      </c>
      <c r="U36">
        <f t="shared" si="27"/>
        <v>82.14</v>
      </c>
      <c r="V36">
        <f t="shared" si="28"/>
        <v>0</v>
      </c>
      <c r="W36">
        <f t="shared" si="29"/>
        <v>0</v>
      </c>
      <c r="X36">
        <f t="shared" si="30"/>
        <v>27766.87</v>
      </c>
      <c r="Y36">
        <f t="shared" si="31"/>
        <v>3966.7</v>
      </c>
      <c r="AA36">
        <v>1407491423</v>
      </c>
      <c r="AB36">
        <f t="shared" si="32"/>
        <v>536.22</v>
      </c>
      <c r="AC36">
        <f>ROUND(((ES36*2)),6)</f>
        <v>0</v>
      </c>
      <c r="AD36">
        <f>ROUND(((((ET36*2))-((EU36*2)))+AE36),6)</f>
        <v>178.86</v>
      </c>
      <c r="AE36">
        <f>ROUND(((EU36*2)),6)</f>
        <v>97.02</v>
      </c>
      <c r="AF36">
        <f>ROUND(((EV36*2)),6)</f>
        <v>357.36</v>
      </c>
      <c r="AG36">
        <f t="shared" si="33"/>
        <v>0</v>
      </c>
      <c r="AH36">
        <f>((EW36*2))</f>
        <v>0.74</v>
      </c>
      <c r="AI36">
        <f>((EX36*2))</f>
        <v>0</v>
      </c>
      <c r="AJ36">
        <f t="shared" si="34"/>
        <v>0</v>
      </c>
      <c r="AK36">
        <v>268.11</v>
      </c>
      <c r="AL36">
        <v>0</v>
      </c>
      <c r="AM36">
        <v>89.43</v>
      </c>
      <c r="AN36">
        <v>48.51</v>
      </c>
      <c r="AO36">
        <v>178.68</v>
      </c>
      <c r="AP36">
        <v>0</v>
      </c>
      <c r="AQ36">
        <v>0.37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56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5"/>
        <v>59520.42</v>
      </c>
      <c r="CQ36">
        <f t="shared" si="36"/>
        <v>0</v>
      </c>
      <c r="CR36">
        <f>(((((ET36*2))*BB36-((EU36*2))*BS36)+AE36*BS36)*AV36)</f>
        <v>178.86</v>
      </c>
      <c r="CS36">
        <f t="shared" si="37"/>
        <v>97.02</v>
      </c>
      <c r="CT36">
        <f t="shared" si="38"/>
        <v>357.36</v>
      </c>
      <c r="CU36">
        <f t="shared" si="39"/>
        <v>0</v>
      </c>
      <c r="CV36">
        <f t="shared" si="40"/>
        <v>0.74</v>
      </c>
      <c r="CW36">
        <f t="shared" si="41"/>
        <v>0</v>
      </c>
      <c r="CX36">
        <f t="shared" si="42"/>
        <v>0</v>
      </c>
      <c r="CY36">
        <f t="shared" si="43"/>
        <v>27766.871999999996</v>
      </c>
      <c r="CZ36">
        <f t="shared" si="44"/>
        <v>3966.6959999999999</v>
      </c>
      <c r="DC36" t="s">
        <v>3</v>
      </c>
      <c r="DD36" t="s">
        <v>52</v>
      </c>
      <c r="DE36" t="s">
        <v>52</v>
      </c>
      <c r="DF36" t="s">
        <v>52</v>
      </c>
      <c r="DG36" t="s">
        <v>52</v>
      </c>
      <c r="DH36" t="s">
        <v>3</v>
      </c>
      <c r="DI36" t="s">
        <v>52</v>
      </c>
      <c r="DJ36" t="s">
        <v>52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42</v>
      </c>
      <c r="DW36" t="s">
        <v>42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1364533919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268.11</v>
      </c>
      <c r="ES36">
        <v>0</v>
      </c>
      <c r="ET36">
        <v>89.43</v>
      </c>
      <c r="EU36">
        <v>48.51</v>
      </c>
      <c r="EV36">
        <v>178.68</v>
      </c>
      <c r="EW36">
        <v>0.37</v>
      </c>
      <c r="EX36">
        <v>0</v>
      </c>
      <c r="EY36">
        <v>0</v>
      </c>
      <c r="FQ36">
        <v>0</v>
      </c>
      <c r="FR36">
        <f t="shared" si="45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-1600812982</v>
      </c>
      <c r="GG36">
        <v>2</v>
      </c>
      <c r="GH36">
        <v>1</v>
      </c>
      <c r="GI36">
        <v>-2</v>
      </c>
      <c r="GJ36">
        <v>0</v>
      </c>
      <c r="GK36">
        <f>ROUND(R36*(R12)/100,2)</f>
        <v>11630.76</v>
      </c>
      <c r="GL36">
        <f t="shared" si="46"/>
        <v>0</v>
      </c>
      <c r="GM36">
        <f t="shared" si="47"/>
        <v>102884.75</v>
      </c>
      <c r="GN36">
        <f t="shared" si="48"/>
        <v>0</v>
      </c>
      <c r="GO36">
        <f t="shared" si="49"/>
        <v>0</v>
      </c>
      <c r="GP36">
        <f t="shared" si="50"/>
        <v>102884.75</v>
      </c>
      <c r="GR36">
        <v>0</v>
      </c>
      <c r="GS36">
        <v>3</v>
      </c>
      <c r="GT36">
        <v>0</v>
      </c>
      <c r="GU36" t="s">
        <v>3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ROW(EtalonRes!A19)</f>
        <v>19</v>
      </c>
      <c r="E37" t="s">
        <v>57</v>
      </c>
      <c r="F37" t="s">
        <v>58</v>
      </c>
      <c r="G37" t="s">
        <v>59</v>
      </c>
      <c r="H37" t="s">
        <v>37</v>
      </c>
      <c r="I37">
        <f>ROUND(8/10,9)</f>
        <v>0.8</v>
      </c>
      <c r="J37">
        <v>0</v>
      </c>
      <c r="K37">
        <f>ROUND(8/10,9)</f>
        <v>0.8</v>
      </c>
      <c r="O37">
        <f t="shared" si="21"/>
        <v>3955.04</v>
      </c>
      <c r="P37">
        <f t="shared" si="22"/>
        <v>0</v>
      </c>
      <c r="Q37">
        <f t="shared" si="23"/>
        <v>0</v>
      </c>
      <c r="R37">
        <f t="shared" si="24"/>
        <v>0</v>
      </c>
      <c r="S37">
        <f t="shared" si="25"/>
        <v>3955.04</v>
      </c>
      <c r="T37">
        <f t="shared" si="26"/>
        <v>0</v>
      </c>
      <c r="U37">
        <f t="shared" si="27"/>
        <v>7.4560000000000004</v>
      </c>
      <c r="V37">
        <f t="shared" si="28"/>
        <v>0</v>
      </c>
      <c r="W37">
        <f t="shared" si="29"/>
        <v>0</v>
      </c>
      <c r="X37">
        <f t="shared" si="30"/>
        <v>2768.53</v>
      </c>
      <c r="Y37">
        <f t="shared" si="31"/>
        <v>395.5</v>
      </c>
      <c r="AA37">
        <v>1407491423</v>
      </c>
      <c r="AB37">
        <f t="shared" si="32"/>
        <v>4943.8</v>
      </c>
      <c r="AC37">
        <f>ROUND(((ES37*4)),6)</f>
        <v>0</v>
      </c>
      <c r="AD37">
        <f>ROUND(((((ET37*4))-((EU37*4)))+AE37),6)</f>
        <v>0</v>
      </c>
      <c r="AE37">
        <f>ROUND(((EU37*4)),6)</f>
        <v>0</v>
      </c>
      <c r="AF37">
        <f>ROUND(((EV37*4)),6)</f>
        <v>4943.8</v>
      </c>
      <c r="AG37">
        <f t="shared" si="33"/>
        <v>0</v>
      </c>
      <c r="AH37">
        <f>((EW37*4))</f>
        <v>9.32</v>
      </c>
      <c r="AI37">
        <f>((EX37*4))</f>
        <v>0</v>
      </c>
      <c r="AJ37">
        <f t="shared" si="34"/>
        <v>0</v>
      </c>
      <c r="AK37">
        <v>1235.95</v>
      </c>
      <c r="AL37">
        <v>0</v>
      </c>
      <c r="AM37">
        <v>0</v>
      </c>
      <c r="AN37">
        <v>0</v>
      </c>
      <c r="AO37">
        <v>1235.95</v>
      </c>
      <c r="AP37">
        <v>0</v>
      </c>
      <c r="AQ37">
        <v>2.33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60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5"/>
        <v>3955.04</v>
      </c>
      <c r="CQ37">
        <f t="shared" si="36"/>
        <v>0</v>
      </c>
      <c r="CR37">
        <f>(((((ET37*4))*BB37-((EU37*4))*BS37)+AE37*BS37)*AV37)</f>
        <v>0</v>
      </c>
      <c r="CS37">
        <f t="shared" si="37"/>
        <v>0</v>
      </c>
      <c r="CT37">
        <f t="shared" si="38"/>
        <v>4943.8</v>
      </c>
      <c r="CU37">
        <f t="shared" si="39"/>
        <v>0</v>
      </c>
      <c r="CV37">
        <f t="shared" si="40"/>
        <v>9.32</v>
      </c>
      <c r="CW37">
        <f t="shared" si="41"/>
        <v>0</v>
      </c>
      <c r="CX37">
        <f t="shared" si="42"/>
        <v>0</v>
      </c>
      <c r="CY37">
        <f t="shared" si="43"/>
        <v>2768.5279999999998</v>
      </c>
      <c r="CZ37">
        <f t="shared" si="44"/>
        <v>395.50400000000002</v>
      </c>
      <c r="DC37" t="s">
        <v>3</v>
      </c>
      <c r="DD37" t="s">
        <v>20</v>
      </c>
      <c r="DE37" t="s">
        <v>20</v>
      </c>
      <c r="DF37" t="s">
        <v>20</v>
      </c>
      <c r="DG37" t="s">
        <v>20</v>
      </c>
      <c r="DH37" t="s">
        <v>3</v>
      </c>
      <c r="DI37" t="s">
        <v>20</v>
      </c>
      <c r="DJ37" t="s">
        <v>20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37</v>
      </c>
      <c r="DW37" t="s">
        <v>37</v>
      </c>
      <c r="DX37">
        <v>10</v>
      </c>
      <c r="DZ37" t="s">
        <v>3</v>
      </c>
      <c r="EA37" t="s">
        <v>3</v>
      </c>
      <c r="EB37" t="s">
        <v>3</v>
      </c>
      <c r="EC37" t="s">
        <v>3</v>
      </c>
      <c r="EE37">
        <v>1364533919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0</v>
      </c>
      <c r="ER37">
        <v>1235.95</v>
      </c>
      <c r="ES37">
        <v>0</v>
      </c>
      <c r="ET37">
        <v>0</v>
      </c>
      <c r="EU37">
        <v>0</v>
      </c>
      <c r="EV37">
        <v>1235.95</v>
      </c>
      <c r="EW37">
        <v>2.33</v>
      </c>
      <c r="EX37">
        <v>0</v>
      </c>
      <c r="EY37">
        <v>0</v>
      </c>
      <c r="FQ37">
        <v>0</v>
      </c>
      <c r="FR37">
        <f t="shared" si="45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-160974380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46"/>
        <v>0</v>
      </c>
      <c r="GM37">
        <f t="shared" si="47"/>
        <v>7119.07</v>
      </c>
      <c r="GN37">
        <f t="shared" si="48"/>
        <v>0</v>
      </c>
      <c r="GO37">
        <f t="shared" si="49"/>
        <v>0</v>
      </c>
      <c r="GP37">
        <f t="shared" si="50"/>
        <v>7119.07</v>
      </c>
      <c r="GR37">
        <v>0</v>
      </c>
      <c r="GS37">
        <v>3</v>
      </c>
      <c r="GT37">
        <v>0</v>
      </c>
      <c r="GU37" t="s">
        <v>3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ROW(EtalonRes!A22)</f>
        <v>22</v>
      </c>
      <c r="E38" t="s">
        <v>61</v>
      </c>
      <c r="F38" t="s">
        <v>62</v>
      </c>
      <c r="G38" t="s">
        <v>63</v>
      </c>
      <c r="H38" t="s">
        <v>37</v>
      </c>
      <c r="I38">
        <f>ROUND(8/10,9)</f>
        <v>0.8</v>
      </c>
      <c r="J38">
        <v>0</v>
      </c>
      <c r="K38">
        <f>ROUND(8/10,9)</f>
        <v>0.8</v>
      </c>
      <c r="O38">
        <f t="shared" si="21"/>
        <v>2782.12</v>
      </c>
      <c r="P38">
        <f t="shared" si="22"/>
        <v>0.5</v>
      </c>
      <c r="Q38">
        <f t="shared" si="23"/>
        <v>0</v>
      </c>
      <c r="R38">
        <f t="shared" si="24"/>
        <v>0</v>
      </c>
      <c r="S38">
        <f t="shared" si="25"/>
        <v>2781.62</v>
      </c>
      <c r="T38">
        <f t="shared" si="26"/>
        <v>0</v>
      </c>
      <c r="U38">
        <f t="shared" si="27"/>
        <v>5.7600000000000007</v>
      </c>
      <c r="V38">
        <f t="shared" si="28"/>
        <v>0</v>
      </c>
      <c r="W38">
        <f t="shared" si="29"/>
        <v>0</v>
      </c>
      <c r="X38">
        <f t="shared" si="30"/>
        <v>1947.13</v>
      </c>
      <c r="Y38">
        <f t="shared" si="31"/>
        <v>278.16000000000003</v>
      </c>
      <c r="AA38">
        <v>1407491423</v>
      </c>
      <c r="AB38">
        <f t="shared" si="32"/>
        <v>3477.64</v>
      </c>
      <c r="AC38">
        <f>ROUND(((ES38*2)),6)</f>
        <v>0.62</v>
      </c>
      <c r="AD38">
        <f>ROUND(((((ET38*2))-((EU38*2)))+AE38),6)</f>
        <v>0</v>
      </c>
      <c r="AE38">
        <f>ROUND(((EU38*2)),6)</f>
        <v>0</v>
      </c>
      <c r="AF38">
        <f>ROUND(((EV38*2)),6)</f>
        <v>3477.02</v>
      </c>
      <c r="AG38">
        <f t="shared" si="33"/>
        <v>0</v>
      </c>
      <c r="AH38">
        <f>((EW38*2))</f>
        <v>7.2</v>
      </c>
      <c r="AI38">
        <f>((EX38*2))</f>
        <v>0</v>
      </c>
      <c r="AJ38">
        <f t="shared" si="34"/>
        <v>0</v>
      </c>
      <c r="AK38">
        <v>1738.82</v>
      </c>
      <c r="AL38">
        <v>0.31</v>
      </c>
      <c r="AM38">
        <v>0</v>
      </c>
      <c r="AN38">
        <v>0</v>
      </c>
      <c r="AO38">
        <v>1738.51</v>
      </c>
      <c r="AP38">
        <v>0</v>
      </c>
      <c r="AQ38">
        <v>3.6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64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5"/>
        <v>2782.12</v>
      </c>
      <c r="CQ38">
        <f t="shared" si="36"/>
        <v>0.62</v>
      </c>
      <c r="CR38">
        <f>(((((ET38*2))*BB38-((EU38*2))*BS38)+AE38*BS38)*AV38)</f>
        <v>0</v>
      </c>
      <c r="CS38">
        <f t="shared" si="37"/>
        <v>0</v>
      </c>
      <c r="CT38">
        <f t="shared" si="38"/>
        <v>3477.02</v>
      </c>
      <c r="CU38">
        <f t="shared" si="39"/>
        <v>0</v>
      </c>
      <c r="CV38">
        <f t="shared" si="40"/>
        <v>7.2</v>
      </c>
      <c r="CW38">
        <f t="shared" si="41"/>
        <v>0</v>
      </c>
      <c r="CX38">
        <f t="shared" si="42"/>
        <v>0</v>
      </c>
      <c r="CY38">
        <f t="shared" si="43"/>
        <v>1947.134</v>
      </c>
      <c r="CZ38">
        <f t="shared" si="44"/>
        <v>278.16199999999998</v>
      </c>
      <c r="DC38" t="s">
        <v>3</v>
      </c>
      <c r="DD38" t="s">
        <v>52</v>
      </c>
      <c r="DE38" t="s">
        <v>52</v>
      </c>
      <c r="DF38" t="s">
        <v>52</v>
      </c>
      <c r="DG38" t="s">
        <v>52</v>
      </c>
      <c r="DH38" t="s">
        <v>3</v>
      </c>
      <c r="DI38" t="s">
        <v>52</v>
      </c>
      <c r="DJ38" t="s">
        <v>52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37</v>
      </c>
      <c r="DW38" t="s">
        <v>37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1364533919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0</v>
      </c>
      <c r="ER38">
        <v>1738.82</v>
      </c>
      <c r="ES38">
        <v>0.31</v>
      </c>
      <c r="ET38">
        <v>0</v>
      </c>
      <c r="EU38">
        <v>0</v>
      </c>
      <c r="EV38">
        <v>1738.51</v>
      </c>
      <c r="EW38">
        <v>3.6</v>
      </c>
      <c r="EX38">
        <v>0</v>
      </c>
      <c r="EY38">
        <v>0</v>
      </c>
      <c r="FQ38">
        <v>0</v>
      </c>
      <c r="FR38">
        <f t="shared" si="45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-422913975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46"/>
        <v>0</v>
      </c>
      <c r="GM38">
        <f t="shared" si="47"/>
        <v>5007.41</v>
      </c>
      <c r="GN38">
        <f t="shared" si="48"/>
        <v>0</v>
      </c>
      <c r="GO38">
        <f t="shared" si="49"/>
        <v>0</v>
      </c>
      <c r="GP38">
        <f t="shared" si="50"/>
        <v>5007.41</v>
      </c>
      <c r="GR38">
        <v>0</v>
      </c>
      <c r="GS38">
        <v>3</v>
      </c>
      <c r="GT38">
        <v>0</v>
      </c>
      <c r="GU38" t="s">
        <v>3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18</v>
      </c>
      <c r="B39">
        <v>1</v>
      </c>
      <c r="E39" t="s">
        <v>65</v>
      </c>
      <c r="F39" t="s">
        <v>66</v>
      </c>
      <c r="G39" t="s">
        <v>67</v>
      </c>
      <c r="H39" t="s">
        <v>42</v>
      </c>
      <c r="I39">
        <f>I38*J39</f>
        <v>48</v>
      </c>
      <c r="J39">
        <v>60</v>
      </c>
      <c r="K39">
        <v>20</v>
      </c>
      <c r="O39">
        <f t="shared" si="21"/>
        <v>10673.28</v>
      </c>
      <c r="P39">
        <f t="shared" si="22"/>
        <v>10673.28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1407491423</v>
      </c>
      <c r="AB39">
        <f t="shared" si="32"/>
        <v>222.36</v>
      </c>
      <c r="AC39">
        <f>ROUND((ES39),6)</f>
        <v>222.36</v>
      </c>
      <c r="AD39">
        <f>ROUND((((ET39)-(EU39))+AE39),6)</f>
        <v>0</v>
      </c>
      <c r="AE39">
        <f>ROUND((EU39),6)</f>
        <v>0</v>
      </c>
      <c r="AF39">
        <f>ROUND((EV39),6)</f>
        <v>0</v>
      </c>
      <c r="AG39">
        <f t="shared" si="33"/>
        <v>0</v>
      </c>
      <c r="AH39">
        <f>(EW39)</f>
        <v>0</v>
      </c>
      <c r="AI39">
        <f>(EX39)</f>
        <v>0</v>
      </c>
      <c r="AJ39">
        <f t="shared" si="34"/>
        <v>0</v>
      </c>
      <c r="AK39">
        <v>222.36</v>
      </c>
      <c r="AL39">
        <v>222.36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4</v>
      </c>
      <c r="BJ39" t="s">
        <v>68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5"/>
        <v>10673.28</v>
      </c>
      <c r="CQ39">
        <f t="shared" si="36"/>
        <v>222.36</v>
      </c>
      <c r="CR39">
        <f>((((ET39)*BB39-(EU39)*BS39)+AE39*BS39)*AV39)</f>
        <v>0</v>
      </c>
      <c r="CS39">
        <f t="shared" si="37"/>
        <v>0</v>
      </c>
      <c r="CT39">
        <f t="shared" si="38"/>
        <v>0</v>
      </c>
      <c r="CU39">
        <f t="shared" si="39"/>
        <v>0</v>
      </c>
      <c r="CV39">
        <f t="shared" si="40"/>
        <v>0</v>
      </c>
      <c r="CW39">
        <f t="shared" si="41"/>
        <v>0</v>
      </c>
      <c r="CX39">
        <f t="shared" si="42"/>
        <v>0</v>
      </c>
      <c r="CY39">
        <f t="shared" si="43"/>
        <v>0</v>
      </c>
      <c r="CZ39">
        <f t="shared" si="44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42</v>
      </c>
      <c r="DW39" t="s">
        <v>42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1364533919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222.36</v>
      </c>
      <c r="ES39">
        <v>222.36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45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-1477603522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46"/>
        <v>0</v>
      </c>
      <c r="GM39">
        <f t="shared" si="47"/>
        <v>10673.28</v>
      </c>
      <c r="GN39">
        <f t="shared" si="48"/>
        <v>0</v>
      </c>
      <c r="GO39">
        <f t="shared" si="49"/>
        <v>0</v>
      </c>
      <c r="GP39">
        <f t="shared" si="50"/>
        <v>10673.28</v>
      </c>
      <c r="GR39">
        <v>0</v>
      </c>
      <c r="GS39">
        <v>3</v>
      </c>
      <c r="GT39">
        <v>0</v>
      </c>
      <c r="GU39" t="s">
        <v>3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HE39" t="s">
        <v>3</v>
      </c>
      <c r="HF39" t="s">
        <v>3</v>
      </c>
      <c r="HM39" t="s">
        <v>69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ROW(EtalonRes!A24)</f>
        <v>24</v>
      </c>
      <c r="E40" t="s">
        <v>3</v>
      </c>
      <c r="F40" t="s">
        <v>70</v>
      </c>
      <c r="G40" t="s">
        <v>71</v>
      </c>
      <c r="H40" t="s">
        <v>37</v>
      </c>
      <c r="I40">
        <f>ROUND(134/10,9)</f>
        <v>13.4</v>
      </c>
      <c r="J40">
        <v>0</v>
      </c>
      <c r="K40">
        <f>ROUND(134/10,9)</f>
        <v>13.4</v>
      </c>
      <c r="O40">
        <f t="shared" si="21"/>
        <v>12801.56</v>
      </c>
      <c r="P40">
        <f t="shared" si="22"/>
        <v>6.97</v>
      </c>
      <c r="Q40">
        <f t="shared" si="23"/>
        <v>0</v>
      </c>
      <c r="R40">
        <f t="shared" si="24"/>
        <v>0</v>
      </c>
      <c r="S40">
        <f t="shared" si="25"/>
        <v>12794.59</v>
      </c>
      <c r="T40">
        <f t="shared" si="26"/>
        <v>0</v>
      </c>
      <c r="U40">
        <f t="shared" si="27"/>
        <v>24.12</v>
      </c>
      <c r="V40">
        <f t="shared" si="28"/>
        <v>0</v>
      </c>
      <c r="W40">
        <f t="shared" si="29"/>
        <v>0</v>
      </c>
      <c r="X40">
        <f t="shared" si="30"/>
        <v>8956.2099999999991</v>
      </c>
      <c r="Y40">
        <f t="shared" si="31"/>
        <v>1279.46</v>
      </c>
      <c r="AA40">
        <v>-1</v>
      </c>
      <c r="AB40">
        <f t="shared" si="32"/>
        <v>955.34</v>
      </c>
      <c r="AC40">
        <f>ROUND(((ES40*2)),6)</f>
        <v>0.52</v>
      </c>
      <c r="AD40">
        <f>ROUND(((((ET40*2))-((EU40*2)))+AE40),6)</f>
        <v>0</v>
      </c>
      <c r="AE40">
        <f>ROUND(((EU40*2)),6)</f>
        <v>0</v>
      </c>
      <c r="AF40">
        <f>ROUND(((EV40*2)),6)</f>
        <v>954.82</v>
      </c>
      <c r="AG40">
        <f t="shared" si="33"/>
        <v>0</v>
      </c>
      <c r="AH40">
        <f>((EW40*2))</f>
        <v>1.8</v>
      </c>
      <c r="AI40">
        <f>((EX40*2))</f>
        <v>0</v>
      </c>
      <c r="AJ40">
        <f t="shared" si="34"/>
        <v>0</v>
      </c>
      <c r="AK40">
        <v>477.67</v>
      </c>
      <c r="AL40">
        <v>0.26</v>
      </c>
      <c r="AM40">
        <v>0</v>
      </c>
      <c r="AN40">
        <v>0</v>
      </c>
      <c r="AO40">
        <v>477.41</v>
      </c>
      <c r="AP40">
        <v>0</v>
      </c>
      <c r="AQ40">
        <v>0.9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72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5"/>
        <v>12801.56</v>
      </c>
      <c r="CQ40">
        <f t="shared" si="36"/>
        <v>0.52</v>
      </c>
      <c r="CR40">
        <f>(((((ET40*2))*BB40-((EU40*2))*BS40)+AE40*BS40)*AV40)</f>
        <v>0</v>
      </c>
      <c r="CS40">
        <f t="shared" si="37"/>
        <v>0</v>
      </c>
      <c r="CT40">
        <f t="shared" si="38"/>
        <v>954.82</v>
      </c>
      <c r="CU40">
        <f t="shared" si="39"/>
        <v>0</v>
      </c>
      <c r="CV40">
        <f t="shared" si="40"/>
        <v>1.8</v>
      </c>
      <c r="CW40">
        <f t="shared" si="41"/>
        <v>0</v>
      </c>
      <c r="CX40">
        <f t="shared" si="42"/>
        <v>0</v>
      </c>
      <c r="CY40">
        <f t="shared" si="43"/>
        <v>8956.2129999999997</v>
      </c>
      <c r="CZ40">
        <f t="shared" si="44"/>
        <v>1279.4589999999998</v>
      </c>
      <c r="DC40" t="s">
        <v>3</v>
      </c>
      <c r="DD40" t="s">
        <v>52</v>
      </c>
      <c r="DE40" t="s">
        <v>52</v>
      </c>
      <c r="DF40" t="s">
        <v>52</v>
      </c>
      <c r="DG40" t="s">
        <v>52</v>
      </c>
      <c r="DH40" t="s">
        <v>3</v>
      </c>
      <c r="DI40" t="s">
        <v>52</v>
      </c>
      <c r="DJ40" t="s">
        <v>52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37</v>
      </c>
      <c r="DW40" t="s">
        <v>37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1364533919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1024</v>
      </c>
      <c r="ER40">
        <v>477.67</v>
      </c>
      <c r="ES40">
        <v>0.26</v>
      </c>
      <c r="ET40">
        <v>0</v>
      </c>
      <c r="EU40">
        <v>0</v>
      </c>
      <c r="EV40">
        <v>477.41</v>
      </c>
      <c r="EW40">
        <v>0.9</v>
      </c>
      <c r="EX40">
        <v>0</v>
      </c>
      <c r="EY40">
        <v>0</v>
      </c>
      <c r="FQ40">
        <v>0</v>
      </c>
      <c r="FR40">
        <f t="shared" si="45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1505479443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46"/>
        <v>0</v>
      </c>
      <c r="GM40">
        <f t="shared" si="47"/>
        <v>23037.23</v>
      </c>
      <c r="GN40">
        <f t="shared" si="48"/>
        <v>0</v>
      </c>
      <c r="GO40">
        <f t="shared" si="49"/>
        <v>0</v>
      </c>
      <c r="GP40">
        <f t="shared" si="50"/>
        <v>23037.23</v>
      </c>
      <c r="GR40">
        <v>0</v>
      </c>
      <c r="GS40">
        <v>3</v>
      </c>
      <c r="GT40">
        <v>0</v>
      </c>
      <c r="GU40" t="s">
        <v>3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ROW(EtalonRes!A26)</f>
        <v>26</v>
      </c>
      <c r="E41" t="s">
        <v>73</v>
      </c>
      <c r="F41" t="s">
        <v>54</v>
      </c>
      <c r="G41" t="s">
        <v>55</v>
      </c>
      <c r="H41" t="s">
        <v>42</v>
      </c>
      <c r="I41">
        <v>6</v>
      </c>
      <c r="J41">
        <v>0</v>
      </c>
      <c r="K41">
        <v>6</v>
      </c>
      <c r="O41">
        <f t="shared" si="21"/>
        <v>3217.32</v>
      </c>
      <c r="P41">
        <f t="shared" si="22"/>
        <v>0</v>
      </c>
      <c r="Q41">
        <f t="shared" si="23"/>
        <v>1073.1600000000001</v>
      </c>
      <c r="R41">
        <f t="shared" si="24"/>
        <v>582.12</v>
      </c>
      <c r="S41">
        <f t="shared" si="25"/>
        <v>2144.16</v>
      </c>
      <c r="T41">
        <f t="shared" si="26"/>
        <v>0</v>
      </c>
      <c r="U41">
        <f t="shared" si="27"/>
        <v>4.4399999999999995</v>
      </c>
      <c r="V41">
        <f t="shared" si="28"/>
        <v>0</v>
      </c>
      <c r="W41">
        <f t="shared" si="29"/>
        <v>0</v>
      </c>
      <c r="X41">
        <f t="shared" si="30"/>
        <v>1500.91</v>
      </c>
      <c r="Y41">
        <f t="shared" si="31"/>
        <v>214.42</v>
      </c>
      <c r="AA41">
        <v>1407491423</v>
      </c>
      <c r="AB41">
        <f t="shared" si="32"/>
        <v>536.22</v>
      </c>
      <c r="AC41">
        <f>ROUND(((ES41*2)),6)</f>
        <v>0</v>
      </c>
      <c r="AD41">
        <f>ROUND(((((ET41*2))-((EU41*2)))+AE41),6)</f>
        <v>178.86</v>
      </c>
      <c r="AE41">
        <f>ROUND(((EU41*2)),6)</f>
        <v>97.02</v>
      </c>
      <c r="AF41">
        <f>ROUND(((EV41*2)),6)</f>
        <v>357.36</v>
      </c>
      <c r="AG41">
        <f t="shared" si="33"/>
        <v>0</v>
      </c>
      <c r="AH41">
        <f>((EW41*2))</f>
        <v>0.74</v>
      </c>
      <c r="AI41">
        <f>((EX41*2))</f>
        <v>0</v>
      </c>
      <c r="AJ41">
        <f t="shared" si="34"/>
        <v>0</v>
      </c>
      <c r="AK41">
        <v>268.11</v>
      </c>
      <c r="AL41">
        <v>0</v>
      </c>
      <c r="AM41">
        <v>89.43</v>
      </c>
      <c r="AN41">
        <v>48.51</v>
      </c>
      <c r="AO41">
        <v>178.68</v>
      </c>
      <c r="AP41">
        <v>0</v>
      </c>
      <c r="AQ41">
        <v>0.37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56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5"/>
        <v>3217.3199999999997</v>
      </c>
      <c r="CQ41">
        <f t="shared" si="36"/>
        <v>0</v>
      </c>
      <c r="CR41">
        <f>(((((ET41*2))*BB41-((EU41*2))*BS41)+AE41*BS41)*AV41)</f>
        <v>178.86</v>
      </c>
      <c r="CS41">
        <f t="shared" si="37"/>
        <v>97.02</v>
      </c>
      <c r="CT41">
        <f t="shared" si="38"/>
        <v>357.36</v>
      </c>
      <c r="CU41">
        <f t="shared" si="39"/>
        <v>0</v>
      </c>
      <c r="CV41">
        <f t="shared" si="40"/>
        <v>0.74</v>
      </c>
      <c r="CW41">
        <f t="shared" si="41"/>
        <v>0</v>
      </c>
      <c r="CX41">
        <f t="shared" si="42"/>
        <v>0</v>
      </c>
      <c r="CY41">
        <f t="shared" si="43"/>
        <v>1500.9119999999998</v>
      </c>
      <c r="CZ41">
        <f t="shared" si="44"/>
        <v>214.416</v>
      </c>
      <c r="DC41" t="s">
        <v>3</v>
      </c>
      <c r="DD41" t="s">
        <v>52</v>
      </c>
      <c r="DE41" t="s">
        <v>52</v>
      </c>
      <c r="DF41" t="s">
        <v>52</v>
      </c>
      <c r="DG41" t="s">
        <v>52</v>
      </c>
      <c r="DH41" t="s">
        <v>3</v>
      </c>
      <c r="DI41" t="s">
        <v>52</v>
      </c>
      <c r="DJ41" t="s">
        <v>52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42</v>
      </c>
      <c r="DW41" t="s">
        <v>42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1364533919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0</v>
      </c>
      <c r="ER41">
        <v>268.11</v>
      </c>
      <c r="ES41">
        <v>0</v>
      </c>
      <c r="ET41">
        <v>89.43</v>
      </c>
      <c r="EU41">
        <v>48.51</v>
      </c>
      <c r="EV41">
        <v>178.68</v>
      </c>
      <c r="EW41">
        <v>0.37</v>
      </c>
      <c r="EX41">
        <v>0</v>
      </c>
      <c r="EY41">
        <v>0</v>
      </c>
      <c r="FQ41">
        <v>0</v>
      </c>
      <c r="FR41">
        <f t="shared" si="45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-1600812982</v>
      </c>
      <c r="GG41">
        <v>2</v>
      </c>
      <c r="GH41">
        <v>1</v>
      </c>
      <c r="GI41">
        <v>-2</v>
      </c>
      <c r="GJ41">
        <v>0</v>
      </c>
      <c r="GK41">
        <f>ROUND(R41*(R12)/100,2)</f>
        <v>628.69000000000005</v>
      </c>
      <c r="GL41">
        <f t="shared" si="46"/>
        <v>0</v>
      </c>
      <c r="GM41">
        <f t="shared" si="47"/>
        <v>5561.34</v>
      </c>
      <c r="GN41">
        <f t="shared" si="48"/>
        <v>0</v>
      </c>
      <c r="GO41">
        <f t="shared" si="49"/>
        <v>0</v>
      </c>
      <c r="GP41">
        <f t="shared" si="50"/>
        <v>5561.34</v>
      </c>
      <c r="GR41">
        <v>0</v>
      </c>
      <c r="GS41">
        <v>3</v>
      </c>
      <c r="GT41">
        <v>0</v>
      </c>
      <c r="GU41" t="s">
        <v>3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1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Система отопления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56">ROUND(AB43,2)</f>
        <v>99103.16</v>
      </c>
      <c r="P43" s="2">
        <f t="shared" si="56"/>
        <v>10712.64</v>
      </c>
      <c r="Q43" s="2">
        <f t="shared" si="56"/>
        <v>20940.05</v>
      </c>
      <c r="R43" s="2">
        <f t="shared" si="56"/>
        <v>11351.39</v>
      </c>
      <c r="S43" s="2">
        <f t="shared" si="56"/>
        <v>67450.47</v>
      </c>
      <c r="T43" s="2">
        <f t="shared" si="56"/>
        <v>0</v>
      </c>
      <c r="U43" s="2">
        <f>AH43</f>
        <v>138.78689999999997</v>
      </c>
      <c r="V43" s="2">
        <f>AI43</f>
        <v>0</v>
      </c>
      <c r="W43" s="2">
        <f>ROUND(AJ43,2)</f>
        <v>0</v>
      </c>
      <c r="X43" s="2">
        <f>ROUND(AK43,2)</f>
        <v>47215.33</v>
      </c>
      <c r="Y43" s="2">
        <f>ROUND(AL43,2)</f>
        <v>6745.06</v>
      </c>
      <c r="Z43" s="2"/>
      <c r="AA43" s="2"/>
      <c r="AB43" s="2">
        <f>ROUND(SUMIF(AA28:AA41,"=1407491423",O28:O41),2)</f>
        <v>99103.16</v>
      </c>
      <c r="AC43" s="2">
        <f>ROUND(SUMIF(AA28:AA41,"=1407491423",P28:P41),2)</f>
        <v>10712.64</v>
      </c>
      <c r="AD43" s="2">
        <f>ROUND(SUMIF(AA28:AA41,"=1407491423",Q28:Q41),2)</f>
        <v>20940.05</v>
      </c>
      <c r="AE43" s="2">
        <f>ROUND(SUMIF(AA28:AA41,"=1407491423",R28:R41),2)</f>
        <v>11351.39</v>
      </c>
      <c r="AF43" s="2">
        <f>ROUND(SUMIF(AA28:AA41,"=1407491423",S28:S41),2)</f>
        <v>67450.47</v>
      </c>
      <c r="AG43" s="2">
        <f>ROUND(SUMIF(AA28:AA41,"=1407491423",T28:T41),2)</f>
        <v>0</v>
      </c>
      <c r="AH43" s="2">
        <f>SUMIF(AA28:AA41,"=1407491423",U28:U41)</f>
        <v>138.78689999999997</v>
      </c>
      <c r="AI43" s="2">
        <f>SUMIF(AA28:AA41,"=1407491423",V28:V41)</f>
        <v>0</v>
      </c>
      <c r="AJ43" s="2">
        <f>ROUND(SUMIF(AA28:AA41,"=1407491423",W28:W41),2)</f>
        <v>0</v>
      </c>
      <c r="AK43" s="2">
        <f>ROUND(SUMIF(AA28:AA41,"=1407491423",X28:X41),2)</f>
        <v>47215.33</v>
      </c>
      <c r="AL43" s="2">
        <f>ROUND(SUMIF(AA28:AA41,"=1407491423",Y28:Y41),2)</f>
        <v>6745.06</v>
      </c>
      <c r="AM43" s="2"/>
      <c r="AN43" s="2"/>
      <c r="AO43" s="2">
        <f t="shared" ref="AO43:BD43" si="57">ROUND(BX43,2)</f>
        <v>0</v>
      </c>
      <c r="AP43" s="2">
        <f t="shared" si="57"/>
        <v>0</v>
      </c>
      <c r="AQ43" s="2">
        <f t="shared" si="57"/>
        <v>0</v>
      </c>
      <c r="AR43" s="2">
        <f t="shared" si="57"/>
        <v>165323.04999999999</v>
      </c>
      <c r="AS43" s="2">
        <f t="shared" si="57"/>
        <v>0</v>
      </c>
      <c r="AT43" s="2">
        <f t="shared" si="57"/>
        <v>0</v>
      </c>
      <c r="AU43" s="2">
        <f t="shared" si="57"/>
        <v>165323.04999999999</v>
      </c>
      <c r="AV43" s="2">
        <f t="shared" si="57"/>
        <v>10712.64</v>
      </c>
      <c r="AW43" s="2">
        <f t="shared" si="57"/>
        <v>10712.64</v>
      </c>
      <c r="AX43" s="2">
        <f t="shared" si="57"/>
        <v>0</v>
      </c>
      <c r="AY43" s="2">
        <f t="shared" si="57"/>
        <v>10712.64</v>
      </c>
      <c r="AZ43" s="2">
        <f t="shared" si="57"/>
        <v>0</v>
      </c>
      <c r="BA43" s="2">
        <f t="shared" si="57"/>
        <v>0</v>
      </c>
      <c r="BB43" s="2">
        <f t="shared" si="57"/>
        <v>0</v>
      </c>
      <c r="BC43" s="2">
        <f t="shared" si="57"/>
        <v>0</v>
      </c>
      <c r="BD43" s="2">
        <f t="shared" si="57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ROUND(SUMIF(AA28:AA41,"=1407491423",FQ28:FQ41),2)</f>
        <v>0</v>
      </c>
      <c r="BY43" s="2">
        <f>ROUND(SUMIF(AA28:AA41,"=1407491423",FR28:FR41),2)</f>
        <v>0</v>
      </c>
      <c r="BZ43" s="2">
        <f>ROUND(SUMIF(AA28:AA41,"=1407491423",GL28:GL41),2)</f>
        <v>0</v>
      </c>
      <c r="CA43" s="2">
        <f>ROUND(SUMIF(AA28:AA41,"=1407491423",GM28:GM41),2)</f>
        <v>165323.04999999999</v>
      </c>
      <c r="CB43" s="2">
        <f>ROUND(SUMIF(AA28:AA41,"=1407491423",GN28:GN41),2)</f>
        <v>0</v>
      </c>
      <c r="CC43" s="2">
        <f>ROUND(SUMIF(AA28:AA41,"=1407491423",GO28:GO41),2)</f>
        <v>0</v>
      </c>
      <c r="CD43" s="2">
        <f>ROUND(SUMIF(AA28:AA41,"=1407491423",GP28:GP41),2)</f>
        <v>165323.04999999999</v>
      </c>
      <c r="CE43" s="2">
        <f>AC43-BX43</f>
        <v>10712.64</v>
      </c>
      <c r="CF43" s="2">
        <f>AC43-BY43</f>
        <v>10712.64</v>
      </c>
      <c r="CG43" s="2">
        <f>BX43-BZ43</f>
        <v>0</v>
      </c>
      <c r="CH43" s="2">
        <f>AC43-BX43-BY43+BZ43</f>
        <v>10712.64</v>
      </c>
      <c r="CI43" s="2">
        <f>BY43-BZ43</f>
        <v>0</v>
      </c>
      <c r="CJ43" s="2">
        <f>ROUND(SUMIF(AA28:AA41,"=1407491423",GX28:GX41),2)</f>
        <v>0</v>
      </c>
      <c r="CK43" s="2">
        <f>ROUND(SUMIF(AA28:AA41,"=1407491423",GY28:GY41),2)</f>
        <v>0</v>
      </c>
      <c r="CL43" s="2">
        <f>ROUND(SUMIF(AA28:AA41,"=1407491423",GZ28:GZ41),2)</f>
        <v>0</v>
      </c>
      <c r="CM43" s="2">
        <f>ROUND(SUMIF(AA28:AA41,"=1407491423",HD28:HD41),2)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99103.16</v>
      </c>
      <c r="G45" s="4" t="s">
        <v>74</v>
      </c>
      <c r="H45" s="4" t="s">
        <v>75</v>
      </c>
      <c r="I45" s="4"/>
      <c r="J45" s="4"/>
      <c r="K45" s="4">
        <v>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99103.16</v>
      </c>
      <c r="X45" s="4">
        <v>1</v>
      </c>
      <c r="Y45" s="4">
        <v>99103.16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10712.64</v>
      </c>
      <c r="G46" s="4" t="s">
        <v>76</v>
      </c>
      <c r="H46" s="4" t="s">
        <v>77</v>
      </c>
      <c r="I46" s="4"/>
      <c r="J46" s="4"/>
      <c r="K46" s="4">
        <v>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10712.64</v>
      </c>
      <c r="X46" s="4">
        <v>1</v>
      </c>
      <c r="Y46" s="4">
        <v>10712.64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78</v>
      </c>
      <c r="H47" s="4" t="s">
        <v>79</v>
      </c>
      <c r="I47" s="4"/>
      <c r="J47" s="4"/>
      <c r="K47" s="4">
        <v>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10712.64</v>
      </c>
      <c r="G48" s="4" t="s">
        <v>80</v>
      </c>
      <c r="H48" s="4" t="s">
        <v>81</v>
      </c>
      <c r="I48" s="4"/>
      <c r="J48" s="4"/>
      <c r="K48" s="4">
        <v>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10712.64</v>
      </c>
      <c r="X48" s="4">
        <v>1</v>
      </c>
      <c r="Y48" s="4">
        <v>10712.64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10712.64</v>
      </c>
      <c r="G49" s="4" t="s">
        <v>82</v>
      </c>
      <c r="H49" s="4" t="s">
        <v>83</v>
      </c>
      <c r="I49" s="4"/>
      <c r="J49" s="4"/>
      <c r="K49" s="4">
        <v>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10712.64</v>
      </c>
      <c r="X49" s="4">
        <v>1</v>
      </c>
      <c r="Y49" s="4">
        <v>10712.64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84</v>
      </c>
      <c r="H50" s="4" t="s">
        <v>85</v>
      </c>
      <c r="I50" s="4"/>
      <c r="J50" s="4"/>
      <c r="K50" s="4">
        <v>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10712.64</v>
      </c>
      <c r="G51" s="4" t="s">
        <v>86</v>
      </c>
      <c r="H51" s="4" t="s">
        <v>87</v>
      </c>
      <c r="I51" s="4"/>
      <c r="J51" s="4"/>
      <c r="K51" s="4">
        <v>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10712.64</v>
      </c>
      <c r="X51" s="4">
        <v>1</v>
      </c>
      <c r="Y51" s="4">
        <v>10712.64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88</v>
      </c>
      <c r="H52" s="4" t="s">
        <v>89</v>
      </c>
      <c r="I52" s="4"/>
      <c r="J52" s="4"/>
      <c r="K52" s="4">
        <v>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90</v>
      </c>
      <c r="H53" s="4" t="s">
        <v>91</v>
      </c>
      <c r="I53" s="4"/>
      <c r="J53" s="4"/>
      <c r="K53" s="4">
        <v>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92</v>
      </c>
      <c r="H54" s="4" t="s">
        <v>93</v>
      </c>
      <c r="I54" s="4"/>
      <c r="J54" s="4"/>
      <c r="K54" s="4">
        <v>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20940.05</v>
      </c>
      <c r="G55" s="4" t="s">
        <v>94</v>
      </c>
      <c r="H55" s="4" t="s">
        <v>95</v>
      </c>
      <c r="I55" s="4"/>
      <c r="J55" s="4"/>
      <c r="K55" s="4">
        <v>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20940.05</v>
      </c>
      <c r="X55" s="4">
        <v>1</v>
      </c>
      <c r="Y55" s="4">
        <v>20940.05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96</v>
      </c>
      <c r="H56" s="4" t="s">
        <v>97</v>
      </c>
      <c r="I56" s="4"/>
      <c r="J56" s="4"/>
      <c r="K56" s="4">
        <v>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11351.39</v>
      </c>
      <c r="G57" s="4" t="s">
        <v>98</v>
      </c>
      <c r="H57" s="4" t="s">
        <v>99</v>
      </c>
      <c r="I57" s="4"/>
      <c r="J57" s="4"/>
      <c r="K57" s="4">
        <v>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11351.39</v>
      </c>
      <c r="X57" s="4">
        <v>1</v>
      </c>
      <c r="Y57" s="4">
        <v>11351.39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67450.47</v>
      </c>
      <c r="G58" s="4" t="s">
        <v>100</v>
      </c>
      <c r="H58" s="4" t="s">
        <v>101</v>
      </c>
      <c r="I58" s="4"/>
      <c r="J58" s="4"/>
      <c r="K58" s="4">
        <v>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67450.47</v>
      </c>
      <c r="X58" s="4">
        <v>1</v>
      </c>
      <c r="Y58" s="4">
        <v>67450.47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102</v>
      </c>
      <c r="H59" s="4" t="s">
        <v>103</v>
      </c>
      <c r="I59" s="4"/>
      <c r="J59" s="4"/>
      <c r="K59" s="4">
        <v>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0</v>
      </c>
      <c r="G60" s="4" t="s">
        <v>104</v>
      </c>
      <c r="H60" s="4" t="s">
        <v>105</v>
      </c>
      <c r="I60" s="4"/>
      <c r="J60" s="4"/>
      <c r="K60" s="4">
        <v>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106</v>
      </c>
      <c r="H61" s="4" t="s">
        <v>107</v>
      </c>
      <c r="I61" s="4"/>
      <c r="J61" s="4"/>
      <c r="K61" s="4">
        <v>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165323.04999999999</v>
      </c>
      <c r="G62" s="4" t="s">
        <v>108</v>
      </c>
      <c r="H62" s="4" t="s">
        <v>109</v>
      </c>
      <c r="I62" s="4"/>
      <c r="J62" s="4"/>
      <c r="K62" s="4">
        <v>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165323.04999999999</v>
      </c>
      <c r="X62" s="4">
        <v>1</v>
      </c>
      <c r="Y62" s="4">
        <v>165323.04999999999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110</v>
      </c>
      <c r="H63" s="4" t="s">
        <v>111</v>
      </c>
      <c r="I63" s="4"/>
      <c r="J63" s="4"/>
      <c r="K63" s="4">
        <v>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112</v>
      </c>
      <c r="H64" s="4" t="s">
        <v>113</v>
      </c>
      <c r="I64" s="4"/>
      <c r="J64" s="4"/>
      <c r="K64" s="4">
        <v>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138.78689999999997</v>
      </c>
      <c r="G65" s="4" t="s">
        <v>114</v>
      </c>
      <c r="H65" s="4" t="s">
        <v>115</v>
      </c>
      <c r="I65" s="4"/>
      <c r="J65" s="4"/>
      <c r="K65" s="4">
        <v>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138.78689999999997</v>
      </c>
      <c r="X65" s="4">
        <v>1</v>
      </c>
      <c r="Y65" s="4">
        <v>138.78689999999997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116</v>
      </c>
      <c r="H66" s="4" t="s">
        <v>117</v>
      </c>
      <c r="I66" s="4"/>
      <c r="J66" s="4"/>
      <c r="K66" s="4">
        <v>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118</v>
      </c>
      <c r="H67" s="4" t="s">
        <v>119</v>
      </c>
      <c r="I67" s="4"/>
      <c r="J67" s="4"/>
      <c r="K67" s="4">
        <v>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120</v>
      </c>
      <c r="H68" s="4" t="s">
        <v>121</v>
      </c>
      <c r="I68" s="4"/>
      <c r="J68" s="4"/>
      <c r="K68" s="4">
        <v>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47215.33</v>
      </c>
      <c r="G69" s="4" t="s">
        <v>122</v>
      </c>
      <c r="H69" s="4" t="s">
        <v>123</v>
      </c>
      <c r="I69" s="4"/>
      <c r="J69" s="4"/>
      <c r="K69" s="4">
        <v>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47215.33</v>
      </c>
      <c r="X69" s="4">
        <v>1</v>
      </c>
      <c r="Y69" s="4">
        <v>47215.33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6745.06</v>
      </c>
      <c r="G70" s="4" t="s">
        <v>124</v>
      </c>
      <c r="H70" s="4" t="s">
        <v>125</v>
      </c>
      <c r="I70" s="4"/>
      <c r="J70" s="4"/>
      <c r="K70" s="4">
        <v>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6745.06</v>
      </c>
      <c r="X70" s="4">
        <v>1</v>
      </c>
      <c r="Y70" s="4">
        <v>6745.06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165323.04999999999</v>
      </c>
      <c r="G71" s="4" t="s">
        <v>126</v>
      </c>
      <c r="H71" s="4" t="s">
        <v>127</v>
      </c>
      <c r="I71" s="4"/>
      <c r="J71" s="4"/>
      <c r="K71" s="4">
        <v>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165323.04999999999</v>
      </c>
      <c r="X71" s="4">
        <v>1</v>
      </c>
      <c r="Y71" s="4">
        <v>165323.04999999999</v>
      </c>
      <c r="Z71" s="4"/>
      <c r="AA71" s="4"/>
      <c r="AB71" s="4"/>
    </row>
    <row r="73" spans="1:245" x14ac:dyDescent="0.2">
      <c r="A73" s="1">
        <v>4</v>
      </c>
      <c r="B73" s="1">
        <v>1</v>
      </c>
      <c r="C73" s="1"/>
      <c r="D73" s="1">
        <f>ROW(A87)</f>
        <v>87</v>
      </c>
      <c r="E73" s="1"/>
      <c r="F73" s="1" t="s">
        <v>13</v>
      </c>
      <c r="G73" s="1" t="s">
        <v>128</v>
      </c>
      <c r="H73" s="1" t="s">
        <v>3</v>
      </c>
      <c r="I73" s="1">
        <v>0</v>
      </c>
      <c r="J73" s="1"/>
      <c r="K73" s="1">
        <v>-1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58">B87</f>
        <v>1</v>
      </c>
      <c r="C75" s="2">
        <f t="shared" si="58"/>
        <v>4</v>
      </c>
      <c r="D75" s="2">
        <f t="shared" si="58"/>
        <v>73</v>
      </c>
      <c r="E75" s="2">
        <f t="shared" si="58"/>
        <v>0</v>
      </c>
      <c r="F75" s="2" t="str">
        <f t="shared" si="58"/>
        <v>Новый раздел</v>
      </c>
      <c r="G75" s="2" t="str">
        <f t="shared" si="58"/>
        <v>Система водоснабжения</v>
      </c>
      <c r="H75" s="2"/>
      <c r="I75" s="2"/>
      <c r="J75" s="2"/>
      <c r="K75" s="2"/>
      <c r="L75" s="2"/>
      <c r="M75" s="2"/>
      <c r="N75" s="2"/>
      <c r="O75" s="2">
        <f t="shared" ref="O75:AT75" si="59">O87</f>
        <v>7540.75</v>
      </c>
      <c r="P75" s="2">
        <f t="shared" si="59"/>
        <v>132.78</v>
      </c>
      <c r="Q75" s="2">
        <f t="shared" si="59"/>
        <v>0</v>
      </c>
      <c r="R75" s="2">
        <f t="shared" si="59"/>
        <v>0</v>
      </c>
      <c r="S75" s="2">
        <f t="shared" si="59"/>
        <v>7407.97</v>
      </c>
      <c r="T75" s="2">
        <f t="shared" si="59"/>
        <v>0</v>
      </c>
      <c r="U75" s="2">
        <f t="shared" si="59"/>
        <v>15.53398</v>
      </c>
      <c r="V75" s="2">
        <f t="shared" si="59"/>
        <v>0</v>
      </c>
      <c r="W75" s="2">
        <f t="shared" si="59"/>
        <v>0</v>
      </c>
      <c r="X75" s="2">
        <f t="shared" si="59"/>
        <v>5185.58</v>
      </c>
      <c r="Y75" s="2">
        <f t="shared" si="59"/>
        <v>740.8</v>
      </c>
      <c r="Z75" s="2">
        <f t="shared" si="59"/>
        <v>0</v>
      </c>
      <c r="AA75" s="2">
        <f t="shared" si="59"/>
        <v>0</v>
      </c>
      <c r="AB75" s="2">
        <f t="shared" si="59"/>
        <v>7540.75</v>
      </c>
      <c r="AC75" s="2">
        <f t="shared" si="59"/>
        <v>132.78</v>
      </c>
      <c r="AD75" s="2">
        <f t="shared" si="59"/>
        <v>0</v>
      </c>
      <c r="AE75" s="2">
        <f t="shared" si="59"/>
        <v>0</v>
      </c>
      <c r="AF75" s="2">
        <f t="shared" si="59"/>
        <v>7407.97</v>
      </c>
      <c r="AG75" s="2">
        <f t="shared" si="59"/>
        <v>0</v>
      </c>
      <c r="AH75" s="2">
        <f t="shared" si="59"/>
        <v>15.53398</v>
      </c>
      <c r="AI75" s="2">
        <f t="shared" si="59"/>
        <v>0</v>
      </c>
      <c r="AJ75" s="2">
        <f t="shared" si="59"/>
        <v>0</v>
      </c>
      <c r="AK75" s="2">
        <f t="shared" si="59"/>
        <v>5185.58</v>
      </c>
      <c r="AL75" s="2">
        <f t="shared" si="59"/>
        <v>740.8</v>
      </c>
      <c r="AM75" s="2">
        <f t="shared" si="59"/>
        <v>0</v>
      </c>
      <c r="AN75" s="2">
        <f t="shared" si="59"/>
        <v>0</v>
      </c>
      <c r="AO75" s="2">
        <f t="shared" si="59"/>
        <v>0</v>
      </c>
      <c r="AP75" s="2">
        <f t="shared" si="59"/>
        <v>0</v>
      </c>
      <c r="AQ75" s="2">
        <f t="shared" si="59"/>
        <v>0</v>
      </c>
      <c r="AR75" s="2">
        <f t="shared" si="59"/>
        <v>13467.13</v>
      </c>
      <c r="AS75" s="2">
        <f t="shared" si="59"/>
        <v>0</v>
      </c>
      <c r="AT75" s="2">
        <f t="shared" si="59"/>
        <v>0</v>
      </c>
      <c r="AU75" s="2">
        <f t="shared" ref="AU75:BZ75" si="60">AU87</f>
        <v>13467.13</v>
      </c>
      <c r="AV75" s="2">
        <f t="shared" si="60"/>
        <v>132.78</v>
      </c>
      <c r="AW75" s="2">
        <f t="shared" si="60"/>
        <v>132.78</v>
      </c>
      <c r="AX75" s="2">
        <f t="shared" si="60"/>
        <v>0</v>
      </c>
      <c r="AY75" s="2">
        <f t="shared" si="60"/>
        <v>132.78</v>
      </c>
      <c r="AZ75" s="2">
        <f t="shared" si="60"/>
        <v>0</v>
      </c>
      <c r="BA75" s="2">
        <f t="shared" si="60"/>
        <v>0</v>
      </c>
      <c r="BB75" s="2">
        <f t="shared" si="60"/>
        <v>0</v>
      </c>
      <c r="BC75" s="2">
        <f t="shared" si="60"/>
        <v>0</v>
      </c>
      <c r="BD75" s="2">
        <f t="shared" si="60"/>
        <v>0</v>
      </c>
      <c r="BE75" s="2">
        <f t="shared" si="60"/>
        <v>0</v>
      </c>
      <c r="BF75" s="2">
        <f t="shared" si="60"/>
        <v>0</v>
      </c>
      <c r="BG75" s="2">
        <f t="shared" si="60"/>
        <v>0</v>
      </c>
      <c r="BH75" s="2">
        <f t="shared" si="60"/>
        <v>0</v>
      </c>
      <c r="BI75" s="2">
        <f t="shared" si="60"/>
        <v>0</v>
      </c>
      <c r="BJ75" s="2">
        <f t="shared" si="60"/>
        <v>0</v>
      </c>
      <c r="BK75" s="2">
        <f t="shared" si="60"/>
        <v>0</v>
      </c>
      <c r="BL75" s="2">
        <f t="shared" si="60"/>
        <v>0</v>
      </c>
      <c r="BM75" s="2">
        <f t="shared" si="60"/>
        <v>0</v>
      </c>
      <c r="BN75" s="2">
        <f t="shared" si="60"/>
        <v>0</v>
      </c>
      <c r="BO75" s="2">
        <f t="shared" si="60"/>
        <v>0</v>
      </c>
      <c r="BP75" s="2">
        <f t="shared" si="60"/>
        <v>0</v>
      </c>
      <c r="BQ75" s="2">
        <f t="shared" si="60"/>
        <v>0</v>
      </c>
      <c r="BR75" s="2">
        <f t="shared" si="60"/>
        <v>0</v>
      </c>
      <c r="BS75" s="2">
        <f t="shared" si="60"/>
        <v>0</v>
      </c>
      <c r="BT75" s="2">
        <f t="shared" si="60"/>
        <v>0</v>
      </c>
      <c r="BU75" s="2">
        <f t="shared" si="60"/>
        <v>0</v>
      </c>
      <c r="BV75" s="2">
        <f t="shared" si="60"/>
        <v>0</v>
      </c>
      <c r="BW75" s="2">
        <f t="shared" si="60"/>
        <v>0</v>
      </c>
      <c r="BX75" s="2">
        <f t="shared" si="60"/>
        <v>0</v>
      </c>
      <c r="BY75" s="2">
        <f t="shared" si="60"/>
        <v>0</v>
      </c>
      <c r="BZ75" s="2">
        <f t="shared" si="60"/>
        <v>0</v>
      </c>
      <c r="CA75" s="2">
        <f t="shared" ref="CA75:DF75" si="61">CA87</f>
        <v>13467.13</v>
      </c>
      <c r="CB75" s="2">
        <f t="shared" si="61"/>
        <v>0</v>
      </c>
      <c r="CC75" s="2">
        <f t="shared" si="61"/>
        <v>0</v>
      </c>
      <c r="CD75" s="2">
        <f t="shared" si="61"/>
        <v>13467.13</v>
      </c>
      <c r="CE75" s="2">
        <f t="shared" si="61"/>
        <v>132.78</v>
      </c>
      <c r="CF75" s="2">
        <f t="shared" si="61"/>
        <v>132.78</v>
      </c>
      <c r="CG75" s="2">
        <f t="shared" si="61"/>
        <v>0</v>
      </c>
      <c r="CH75" s="2">
        <f t="shared" si="61"/>
        <v>132.78</v>
      </c>
      <c r="CI75" s="2">
        <f t="shared" si="61"/>
        <v>0</v>
      </c>
      <c r="CJ75" s="2">
        <f t="shared" si="61"/>
        <v>0</v>
      </c>
      <c r="CK75" s="2">
        <f t="shared" si="61"/>
        <v>0</v>
      </c>
      <c r="CL75" s="2">
        <f t="shared" si="61"/>
        <v>0</v>
      </c>
      <c r="CM75" s="2">
        <f t="shared" si="61"/>
        <v>0</v>
      </c>
      <c r="CN75" s="2">
        <f t="shared" si="61"/>
        <v>0</v>
      </c>
      <c r="CO75" s="2">
        <f t="shared" si="61"/>
        <v>0</v>
      </c>
      <c r="CP75" s="2">
        <f t="shared" si="61"/>
        <v>0</v>
      </c>
      <c r="CQ75" s="2">
        <f t="shared" si="61"/>
        <v>0</v>
      </c>
      <c r="CR75" s="2">
        <f t="shared" si="61"/>
        <v>0</v>
      </c>
      <c r="CS75" s="2">
        <f t="shared" si="61"/>
        <v>0</v>
      </c>
      <c r="CT75" s="2">
        <f t="shared" si="61"/>
        <v>0</v>
      </c>
      <c r="CU75" s="2">
        <f t="shared" si="61"/>
        <v>0</v>
      </c>
      <c r="CV75" s="2">
        <f t="shared" si="61"/>
        <v>0</v>
      </c>
      <c r="CW75" s="2">
        <f t="shared" si="61"/>
        <v>0</v>
      </c>
      <c r="CX75" s="2">
        <f t="shared" si="61"/>
        <v>0</v>
      </c>
      <c r="CY75" s="2">
        <f t="shared" si="61"/>
        <v>0</v>
      </c>
      <c r="CZ75" s="2">
        <f t="shared" si="61"/>
        <v>0</v>
      </c>
      <c r="DA75" s="2">
        <f t="shared" si="61"/>
        <v>0</v>
      </c>
      <c r="DB75" s="2">
        <f t="shared" si="61"/>
        <v>0</v>
      </c>
      <c r="DC75" s="2">
        <f t="shared" si="61"/>
        <v>0</v>
      </c>
      <c r="DD75" s="2">
        <f t="shared" si="61"/>
        <v>0</v>
      </c>
      <c r="DE75" s="2">
        <f t="shared" si="61"/>
        <v>0</v>
      </c>
      <c r="DF75" s="2">
        <f t="shared" si="61"/>
        <v>0</v>
      </c>
      <c r="DG75" s="3">
        <f t="shared" ref="DG75:EL75" si="62">DG87</f>
        <v>0</v>
      </c>
      <c r="DH75" s="3">
        <f t="shared" si="62"/>
        <v>0</v>
      </c>
      <c r="DI75" s="3">
        <f t="shared" si="62"/>
        <v>0</v>
      </c>
      <c r="DJ75" s="3">
        <f t="shared" si="62"/>
        <v>0</v>
      </c>
      <c r="DK75" s="3">
        <f t="shared" si="62"/>
        <v>0</v>
      </c>
      <c r="DL75" s="3">
        <f t="shared" si="62"/>
        <v>0</v>
      </c>
      <c r="DM75" s="3">
        <f t="shared" si="62"/>
        <v>0</v>
      </c>
      <c r="DN75" s="3">
        <f t="shared" si="62"/>
        <v>0</v>
      </c>
      <c r="DO75" s="3">
        <f t="shared" si="62"/>
        <v>0</v>
      </c>
      <c r="DP75" s="3">
        <f t="shared" si="62"/>
        <v>0</v>
      </c>
      <c r="DQ75" s="3">
        <f t="shared" si="62"/>
        <v>0</v>
      </c>
      <c r="DR75" s="3">
        <f t="shared" si="62"/>
        <v>0</v>
      </c>
      <c r="DS75" s="3">
        <f t="shared" si="62"/>
        <v>0</v>
      </c>
      <c r="DT75" s="3">
        <f t="shared" si="62"/>
        <v>0</v>
      </c>
      <c r="DU75" s="3">
        <f t="shared" si="62"/>
        <v>0</v>
      </c>
      <c r="DV75" s="3">
        <f t="shared" si="62"/>
        <v>0</v>
      </c>
      <c r="DW75" s="3">
        <f t="shared" si="62"/>
        <v>0</v>
      </c>
      <c r="DX75" s="3">
        <f t="shared" si="62"/>
        <v>0</v>
      </c>
      <c r="DY75" s="3">
        <f t="shared" si="62"/>
        <v>0</v>
      </c>
      <c r="DZ75" s="3">
        <f t="shared" si="62"/>
        <v>0</v>
      </c>
      <c r="EA75" s="3">
        <f t="shared" si="62"/>
        <v>0</v>
      </c>
      <c r="EB75" s="3">
        <f t="shared" si="62"/>
        <v>0</v>
      </c>
      <c r="EC75" s="3">
        <f t="shared" si="62"/>
        <v>0</v>
      </c>
      <c r="ED75" s="3">
        <f t="shared" si="62"/>
        <v>0</v>
      </c>
      <c r="EE75" s="3">
        <f t="shared" si="62"/>
        <v>0</v>
      </c>
      <c r="EF75" s="3">
        <f t="shared" si="62"/>
        <v>0</v>
      </c>
      <c r="EG75" s="3">
        <f t="shared" si="62"/>
        <v>0</v>
      </c>
      <c r="EH75" s="3">
        <f t="shared" si="62"/>
        <v>0</v>
      </c>
      <c r="EI75" s="3">
        <f t="shared" si="62"/>
        <v>0</v>
      </c>
      <c r="EJ75" s="3">
        <f t="shared" si="62"/>
        <v>0</v>
      </c>
      <c r="EK75" s="3">
        <f t="shared" si="62"/>
        <v>0</v>
      </c>
      <c r="EL75" s="3">
        <f t="shared" si="62"/>
        <v>0</v>
      </c>
      <c r="EM75" s="3">
        <f t="shared" ref="EM75:FR75" si="63">EM87</f>
        <v>0</v>
      </c>
      <c r="EN75" s="3">
        <f t="shared" si="63"/>
        <v>0</v>
      </c>
      <c r="EO75" s="3">
        <f t="shared" si="63"/>
        <v>0</v>
      </c>
      <c r="EP75" s="3">
        <f t="shared" si="63"/>
        <v>0</v>
      </c>
      <c r="EQ75" s="3">
        <f t="shared" si="63"/>
        <v>0</v>
      </c>
      <c r="ER75" s="3">
        <f t="shared" si="63"/>
        <v>0</v>
      </c>
      <c r="ES75" s="3">
        <f t="shared" si="63"/>
        <v>0</v>
      </c>
      <c r="ET75" s="3">
        <f t="shared" si="63"/>
        <v>0</v>
      </c>
      <c r="EU75" s="3">
        <f t="shared" si="63"/>
        <v>0</v>
      </c>
      <c r="EV75" s="3">
        <f t="shared" si="63"/>
        <v>0</v>
      </c>
      <c r="EW75" s="3">
        <f t="shared" si="63"/>
        <v>0</v>
      </c>
      <c r="EX75" s="3">
        <f t="shared" si="63"/>
        <v>0</v>
      </c>
      <c r="EY75" s="3">
        <f t="shared" si="63"/>
        <v>0</v>
      </c>
      <c r="EZ75" s="3">
        <f t="shared" si="63"/>
        <v>0</v>
      </c>
      <c r="FA75" s="3">
        <f t="shared" si="63"/>
        <v>0</v>
      </c>
      <c r="FB75" s="3">
        <f t="shared" si="63"/>
        <v>0</v>
      </c>
      <c r="FC75" s="3">
        <f t="shared" si="63"/>
        <v>0</v>
      </c>
      <c r="FD75" s="3">
        <f t="shared" si="63"/>
        <v>0</v>
      </c>
      <c r="FE75" s="3">
        <f t="shared" si="63"/>
        <v>0</v>
      </c>
      <c r="FF75" s="3">
        <f t="shared" si="63"/>
        <v>0</v>
      </c>
      <c r="FG75" s="3">
        <f t="shared" si="63"/>
        <v>0</v>
      </c>
      <c r="FH75" s="3">
        <f t="shared" si="63"/>
        <v>0</v>
      </c>
      <c r="FI75" s="3">
        <f t="shared" si="63"/>
        <v>0</v>
      </c>
      <c r="FJ75" s="3">
        <f t="shared" si="63"/>
        <v>0</v>
      </c>
      <c r="FK75" s="3">
        <f t="shared" si="63"/>
        <v>0</v>
      </c>
      <c r="FL75" s="3">
        <f t="shared" si="63"/>
        <v>0</v>
      </c>
      <c r="FM75" s="3">
        <f t="shared" si="63"/>
        <v>0</v>
      </c>
      <c r="FN75" s="3">
        <f t="shared" si="63"/>
        <v>0</v>
      </c>
      <c r="FO75" s="3">
        <f t="shared" si="63"/>
        <v>0</v>
      </c>
      <c r="FP75" s="3">
        <f t="shared" si="63"/>
        <v>0</v>
      </c>
      <c r="FQ75" s="3">
        <f t="shared" si="63"/>
        <v>0</v>
      </c>
      <c r="FR75" s="3">
        <f t="shared" si="63"/>
        <v>0</v>
      </c>
      <c r="FS75" s="3">
        <f t="shared" ref="FS75:GX75" si="64">FS87</f>
        <v>0</v>
      </c>
      <c r="FT75" s="3">
        <f t="shared" si="64"/>
        <v>0</v>
      </c>
      <c r="FU75" s="3">
        <f t="shared" si="64"/>
        <v>0</v>
      </c>
      <c r="FV75" s="3">
        <f t="shared" si="64"/>
        <v>0</v>
      </c>
      <c r="FW75" s="3">
        <f t="shared" si="64"/>
        <v>0</v>
      </c>
      <c r="FX75" s="3">
        <f t="shared" si="64"/>
        <v>0</v>
      </c>
      <c r="FY75" s="3">
        <f t="shared" si="64"/>
        <v>0</v>
      </c>
      <c r="FZ75" s="3">
        <f t="shared" si="64"/>
        <v>0</v>
      </c>
      <c r="GA75" s="3">
        <f t="shared" si="64"/>
        <v>0</v>
      </c>
      <c r="GB75" s="3">
        <f t="shared" si="64"/>
        <v>0</v>
      </c>
      <c r="GC75" s="3">
        <f t="shared" si="64"/>
        <v>0</v>
      </c>
      <c r="GD75" s="3">
        <f t="shared" si="64"/>
        <v>0</v>
      </c>
      <c r="GE75" s="3">
        <f t="shared" si="64"/>
        <v>0</v>
      </c>
      <c r="GF75" s="3">
        <f t="shared" si="64"/>
        <v>0</v>
      </c>
      <c r="GG75" s="3">
        <f t="shared" si="64"/>
        <v>0</v>
      </c>
      <c r="GH75" s="3">
        <f t="shared" si="64"/>
        <v>0</v>
      </c>
      <c r="GI75" s="3">
        <f t="shared" si="64"/>
        <v>0</v>
      </c>
      <c r="GJ75" s="3">
        <f t="shared" si="64"/>
        <v>0</v>
      </c>
      <c r="GK75" s="3">
        <f t="shared" si="64"/>
        <v>0</v>
      </c>
      <c r="GL75" s="3">
        <f t="shared" si="64"/>
        <v>0</v>
      </c>
      <c r="GM75" s="3">
        <f t="shared" si="64"/>
        <v>0</v>
      </c>
      <c r="GN75" s="3">
        <f t="shared" si="64"/>
        <v>0</v>
      </c>
      <c r="GO75" s="3">
        <f t="shared" si="64"/>
        <v>0</v>
      </c>
      <c r="GP75" s="3">
        <f t="shared" si="64"/>
        <v>0</v>
      </c>
      <c r="GQ75" s="3">
        <f t="shared" si="64"/>
        <v>0</v>
      </c>
      <c r="GR75" s="3">
        <f t="shared" si="64"/>
        <v>0</v>
      </c>
      <c r="GS75" s="3">
        <f t="shared" si="64"/>
        <v>0</v>
      </c>
      <c r="GT75" s="3">
        <f t="shared" si="64"/>
        <v>0</v>
      </c>
      <c r="GU75" s="3">
        <f t="shared" si="64"/>
        <v>0</v>
      </c>
      <c r="GV75" s="3">
        <f t="shared" si="64"/>
        <v>0</v>
      </c>
      <c r="GW75" s="3">
        <f t="shared" si="64"/>
        <v>0</v>
      </c>
      <c r="GX75" s="3">
        <f t="shared" si="64"/>
        <v>0</v>
      </c>
    </row>
    <row r="77" spans="1:245" x14ac:dyDescent="0.2">
      <c r="A77">
        <v>17</v>
      </c>
      <c r="B77">
        <v>1</v>
      </c>
      <c r="D77">
        <f>ROW(EtalonRes!A27)</f>
        <v>27</v>
      </c>
      <c r="E77" t="s">
        <v>129</v>
      </c>
      <c r="F77" t="s">
        <v>16</v>
      </c>
      <c r="G77" t="s">
        <v>17</v>
      </c>
      <c r="H77" t="s">
        <v>18</v>
      </c>
      <c r="I77">
        <f>ROUND((1009)*0.25*0.1/100,9)</f>
        <v>0.25224999999999997</v>
      </c>
      <c r="J77">
        <v>0</v>
      </c>
      <c r="K77">
        <f>ROUND((1009)*0.25*0.1/100,9)</f>
        <v>0.25224999999999997</v>
      </c>
      <c r="O77">
        <f t="shared" ref="O77:O85" si="65">ROUND(CP77,2)</f>
        <v>438.54</v>
      </c>
      <c r="P77">
        <f t="shared" ref="P77:P85" si="66">ROUND(CQ77*I77,2)</f>
        <v>0</v>
      </c>
      <c r="Q77">
        <f t="shared" ref="Q77:Q85" si="67">ROUND(CR77*I77,2)</f>
        <v>0</v>
      </c>
      <c r="R77">
        <f t="shared" ref="R77:R85" si="68">ROUND(CS77*I77,2)</f>
        <v>0</v>
      </c>
      <c r="S77">
        <f t="shared" ref="S77:S85" si="69">ROUND(CT77*I77,2)</f>
        <v>438.54</v>
      </c>
      <c r="T77">
        <f t="shared" ref="T77:T85" si="70">ROUND(CU77*I77,2)</f>
        <v>0</v>
      </c>
      <c r="U77">
        <f t="shared" ref="U77:U85" si="71">CV77*I77</f>
        <v>0.90809999999999991</v>
      </c>
      <c r="V77">
        <f t="shared" ref="V77:V85" si="72">CW77*I77</f>
        <v>0</v>
      </c>
      <c r="W77">
        <f t="shared" ref="W77:W85" si="73">ROUND(CX77*I77,2)</f>
        <v>0</v>
      </c>
      <c r="X77">
        <f t="shared" ref="X77:X85" si="74">ROUND(CY77,2)</f>
        <v>306.98</v>
      </c>
      <c r="Y77">
        <f t="shared" ref="Y77:Y85" si="75">ROUND(CZ77,2)</f>
        <v>43.85</v>
      </c>
      <c r="AA77">
        <v>1407491423</v>
      </c>
      <c r="AB77">
        <f t="shared" ref="AB77:AB85" si="76">ROUND((AC77+AD77+AF77),6)</f>
        <v>1738.52</v>
      </c>
      <c r="AC77">
        <f>ROUND(((ES77*4)),6)</f>
        <v>0</v>
      </c>
      <c r="AD77">
        <f>ROUND(((((ET77*4))-((EU77*4)))+AE77),6)</f>
        <v>0</v>
      </c>
      <c r="AE77">
        <f>ROUND(((EU77*4)),6)</f>
        <v>0</v>
      </c>
      <c r="AF77">
        <f>ROUND(((EV77*4)),6)</f>
        <v>1738.52</v>
      </c>
      <c r="AG77">
        <f t="shared" ref="AG77:AG85" si="77">ROUND((AP77),6)</f>
        <v>0</v>
      </c>
      <c r="AH77">
        <f>((EW77*4))</f>
        <v>3.6</v>
      </c>
      <c r="AI77">
        <f>((EX77*4))</f>
        <v>0</v>
      </c>
      <c r="AJ77">
        <f t="shared" ref="AJ77:AJ85" si="78">(AS77)</f>
        <v>0</v>
      </c>
      <c r="AK77">
        <v>434.63</v>
      </c>
      <c r="AL77">
        <v>0</v>
      </c>
      <c r="AM77">
        <v>0</v>
      </c>
      <c r="AN77">
        <v>0</v>
      </c>
      <c r="AO77">
        <v>434.63</v>
      </c>
      <c r="AP77">
        <v>0</v>
      </c>
      <c r="AQ77">
        <v>0.9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4</v>
      </c>
      <c r="BJ77" t="s">
        <v>19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ref="CP77:CP85" si="79">(P77+Q77+S77)</f>
        <v>438.54</v>
      </c>
      <c r="CQ77">
        <f t="shared" ref="CQ77:CQ85" si="80">(AC77*BC77*AW77)</f>
        <v>0</v>
      </c>
      <c r="CR77">
        <f>(((((ET77*4))*BB77-((EU77*4))*BS77)+AE77*BS77)*AV77)</f>
        <v>0</v>
      </c>
      <c r="CS77">
        <f t="shared" ref="CS77:CS85" si="81">(AE77*BS77*AV77)</f>
        <v>0</v>
      </c>
      <c r="CT77">
        <f t="shared" ref="CT77:CT85" si="82">(AF77*BA77*AV77)</f>
        <v>1738.52</v>
      </c>
      <c r="CU77">
        <f t="shared" ref="CU77:CU85" si="83">AG77</f>
        <v>0</v>
      </c>
      <c r="CV77">
        <f t="shared" ref="CV77:CV85" si="84">(AH77*AV77)</f>
        <v>3.6</v>
      </c>
      <c r="CW77">
        <f t="shared" ref="CW77:CW85" si="85">AI77</f>
        <v>0</v>
      </c>
      <c r="CX77">
        <f t="shared" ref="CX77:CX85" si="86">AJ77</f>
        <v>0</v>
      </c>
      <c r="CY77">
        <f t="shared" ref="CY77:CY85" si="87">((S77*BZ77)/100)</f>
        <v>306.97800000000001</v>
      </c>
      <c r="CZ77">
        <f t="shared" ref="CZ77:CZ85" si="88">((S77*CA77)/100)</f>
        <v>43.854000000000006</v>
      </c>
      <c r="DC77" t="s">
        <v>3</v>
      </c>
      <c r="DD77" t="s">
        <v>20</v>
      </c>
      <c r="DE77" t="s">
        <v>20</v>
      </c>
      <c r="DF77" t="s">
        <v>20</v>
      </c>
      <c r="DG77" t="s">
        <v>20</v>
      </c>
      <c r="DH77" t="s">
        <v>3</v>
      </c>
      <c r="DI77" t="s">
        <v>20</v>
      </c>
      <c r="DJ77" t="s">
        <v>20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1003</v>
      </c>
      <c r="DV77" t="s">
        <v>18</v>
      </c>
      <c r="DW77" t="s">
        <v>18</v>
      </c>
      <c r="DX77">
        <v>100</v>
      </c>
      <c r="DZ77" t="s">
        <v>3</v>
      </c>
      <c r="EA77" t="s">
        <v>3</v>
      </c>
      <c r="EB77" t="s">
        <v>3</v>
      </c>
      <c r="EC77" t="s">
        <v>3</v>
      </c>
      <c r="EE77">
        <v>1364533919</v>
      </c>
      <c r="EF77">
        <v>1</v>
      </c>
      <c r="EG77" t="s">
        <v>21</v>
      </c>
      <c r="EH77">
        <v>0</v>
      </c>
      <c r="EI77" t="s">
        <v>3</v>
      </c>
      <c r="EJ77">
        <v>4</v>
      </c>
      <c r="EK77">
        <v>0</v>
      </c>
      <c r="EL77" t="s">
        <v>22</v>
      </c>
      <c r="EM77" t="s">
        <v>23</v>
      </c>
      <c r="EO77" t="s">
        <v>3</v>
      </c>
      <c r="EQ77">
        <v>0</v>
      </c>
      <c r="ER77">
        <v>434.63</v>
      </c>
      <c r="ES77">
        <v>0</v>
      </c>
      <c r="ET77">
        <v>0</v>
      </c>
      <c r="EU77">
        <v>0</v>
      </c>
      <c r="EV77">
        <v>434.63</v>
      </c>
      <c r="EW77">
        <v>0.9</v>
      </c>
      <c r="EX77">
        <v>0</v>
      </c>
      <c r="EY77">
        <v>0</v>
      </c>
      <c r="FQ77">
        <v>0</v>
      </c>
      <c r="FR77">
        <f t="shared" ref="FR77:FR85" si="89">ROUND(IF(BI77=3,GM77,0),2)</f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527005660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ref="GL77:GL85" si="90">ROUND(IF(AND(BH77=3,BI77=3,FS77&lt;&gt;0),P77,0),2)</f>
        <v>0</v>
      </c>
      <c r="GM77">
        <f t="shared" ref="GM77:GM85" si="91">ROUND(O77+X77+Y77+GK77,2)+GX77</f>
        <v>789.37</v>
      </c>
      <c r="GN77">
        <f t="shared" ref="GN77:GN85" si="92">IF(OR(BI77=0,BI77=1),ROUND(O77+X77+Y77+GK77,2),0)</f>
        <v>0</v>
      </c>
      <c r="GO77">
        <f t="shared" ref="GO77:GO85" si="93">IF(BI77=2,ROUND(O77+X77+Y77+GK77,2),0)</f>
        <v>0</v>
      </c>
      <c r="GP77">
        <f t="shared" ref="GP77:GP85" si="94">IF(BI77=4,ROUND(O77+X77+Y77+GK77,2)+GX77,0)</f>
        <v>789.37</v>
      </c>
      <c r="GR77">
        <v>0</v>
      </c>
      <c r="GS77">
        <v>3</v>
      </c>
      <c r="GT77">
        <v>0</v>
      </c>
      <c r="GU77" t="s">
        <v>3</v>
      </c>
      <c r="GV77">
        <f t="shared" ref="GV77:GV85" si="95">ROUND((GT77),6)</f>
        <v>0</v>
      </c>
      <c r="GW77">
        <v>1</v>
      </c>
      <c r="GX77">
        <f t="shared" ref="GX77:GX85" si="96">ROUND(HC77*I77,2)</f>
        <v>0</v>
      </c>
      <c r="HA77">
        <v>0</v>
      </c>
      <c r="HB77">
        <v>0</v>
      </c>
      <c r="HC77">
        <f t="shared" ref="HC77:HC85" si="97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D78">
        <f>ROW(EtalonRes!A28)</f>
        <v>28</v>
      </c>
      <c r="E78" t="s">
        <v>130</v>
      </c>
      <c r="F78" t="s">
        <v>25</v>
      </c>
      <c r="G78" t="s">
        <v>26</v>
      </c>
      <c r="H78" t="s">
        <v>18</v>
      </c>
      <c r="I78">
        <f>ROUND((1009)*0.75*0.1/100,9)</f>
        <v>0.75675000000000003</v>
      </c>
      <c r="J78">
        <v>0</v>
      </c>
      <c r="K78">
        <f>ROUND((1009)*0.75*0.1/100,9)</f>
        <v>0.75675000000000003</v>
      </c>
      <c r="O78">
        <f t="shared" si="65"/>
        <v>3859.12</v>
      </c>
      <c r="P78">
        <f t="shared" si="66"/>
        <v>0</v>
      </c>
      <c r="Q78">
        <f t="shared" si="67"/>
        <v>0</v>
      </c>
      <c r="R78">
        <f t="shared" si="68"/>
        <v>0</v>
      </c>
      <c r="S78">
        <f t="shared" si="69"/>
        <v>3859.12</v>
      </c>
      <c r="T78">
        <f t="shared" si="70"/>
        <v>0</v>
      </c>
      <c r="U78">
        <f t="shared" si="71"/>
        <v>7.9912800000000006</v>
      </c>
      <c r="V78">
        <f t="shared" si="72"/>
        <v>0</v>
      </c>
      <c r="W78">
        <f t="shared" si="73"/>
        <v>0</v>
      </c>
      <c r="X78">
        <f t="shared" si="74"/>
        <v>2701.38</v>
      </c>
      <c r="Y78">
        <f t="shared" si="75"/>
        <v>385.91</v>
      </c>
      <c r="AA78">
        <v>1407491423</v>
      </c>
      <c r="AB78">
        <f t="shared" si="76"/>
        <v>5099.6000000000004</v>
      </c>
      <c r="AC78">
        <f>ROUND(((ES78*4)),6)</f>
        <v>0</v>
      </c>
      <c r="AD78">
        <f>ROUND(((((ET78*4))-((EU78*4)))+AE78),6)</f>
        <v>0</v>
      </c>
      <c r="AE78">
        <f>ROUND(((EU78*4)),6)</f>
        <v>0</v>
      </c>
      <c r="AF78">
        <f>ROUND(((EV78*4)),6)</f>
        <v>5099.6000000000004</v>
      </c>
      <c r="AG78">
        <f t="shared" si="77"/>
        <v>0</v>
      </c>
      <c r="AH78">
        <f>((EW78*4))</f>
        <v>10.56</v>
      </c>
      <c r="AI78">
        <f>((EX78*4))</f>
        <v>0</v>
      </c>
      <c r="AJ78">
        <f t="shared" si="78"/>
        <v>0</v>
      </c>
      <c r="AK78">
        <v>1274.9000000000001</v>
      </c>
      <c r="AL78">
        <v>0</v>
      </c>
      <c r="AM78">
        <v>0</v>
      </c>
      <c r="AN78">
        <v>0</v>
      </c>
      <c r="AO78">
        <v>1274.9000000000001</v>
      </c>
      <c r="AP78">
        <v>0</v>
      </c>
      <c r="AQ78">
        <v>2.64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27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79"/>
        <v>3859.12</v>
      </c>
      <c r="CQ78">
        <f t="shared" si="80"/>
        <v>0</v>
      </c>
      <c r="CR78">
        <f>(((((ET78*4))*BB78-((EU78*4))*BS78)+AE78*BS78)*AV78)</f>
        <v>0</v>
      </c>
      <c r="CS78">
        <f t="shared" si="81"/>
        <v>0</v>
      </c>
      <c r="CT78">
        <f t="shared" si="82"/>
        <v>5099.6000000000004</v>
      </c>
      <c r="CU78">
        <f t="shared" si="83"/>
        <v>0</v>
      </c>
      <c r="CV78">
        <f t="shared" si="84"/>
        <v>10.56</v>
      </c>
      <c r="CW78">
        <f t="shared" si="85"/>
        <v>0</v>
      </c>
      <c r="CX78">
        <f t="shared" si="86"/>
        <v>0</v>
      </c>
      <c r="CY78">
        <f t="shared" si="87"/>
        <v>2701.3839999999996</v>
      </c>
      <c r="CZ78">
        <f t="shared" si="88"/>
        <v>385.91199999999998</v>
      </c>
      <c r="DC78" t="s">
        <v>3</v>
      </c>
      <c r="DD78" t="s">
        <v>20</v>
      </c>
      <c r="DE78" t="s">
        <v>20</v>
      </c>
      <c r="DF78" t="s">
        <v>20</v>
      </c>
      <c r="DG78" t="s">
        <v>20</v>
      </c>
      <c r="DH78" t="s">
        <v>3</v>
      </c>
      <c r="DI78" t="s">
        <v>20</v>
      </c>
      <c r="DJ78" t="s">
        <v>20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1003</v>
      </c>
      <c r="DV78" t="s">
        <v>18</v>
      </c>
      <c r="DW78" t="s">
        <v>18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1364533919</v>
      </c>
      <c r="EF78">
        <v>1</v>
      </c>
      <c r="EG78" t="s">
        <v>21</v>
      </c>
      <c r="EH78">
        <v>0</v>
      </c>
      <c r="EI78" t="s">
        <v>3</v>
      </c>
      <c r="EJ78">
        <v>4</v>
      </c>
      <c r="EK78">
        <v>0</v>
      </c>
      <c r="EL78" t="s">
        <v>22</v>
      </c>
      <c r="EM78" t="s">
        <v>23</v>
      </c>
      <c r="EO78" t="s">
        <v>3</v>
      </c>
      <c r="EQ78">
        <v>0</v>
      </c>
      <c r="ER78">
        <v>1274.9000000000001</v>
      </c>
      <c r="ES78">
        <v>0</v>
      </c>
      <c r="ET78">
        <v>0</v>
      </c>
      <c r="EU78">
        <v>0</v>
      </c>
      <c r="EV78">
        <v>1274.9000000000001</v>
      </c>
      <c r="EW78">
        <v>2.64</v>
      </c>
      <c r="EX78">
        <v>0</v>
      </c>
      <c r="EY78">
        <v>0</v>
      </c>
      <c r="FQ78">
        <v>0</v>
      </c>
      <c r="FR78">
        <f t="shared" si="89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-1003523402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0"/>
        <v>0</v>
      </c>
      <c r="GM78">
        <f t="shared" si="91"/>
        <v>6946.41</v>
      </c>
      <c r="GN78">
        <f t="shared" si="92"/>
        <v>0</v>
      </c>
      <c r="GO78">
        <f t="shared" si="93"/>
        <v>0</v>
      </c>
      <c r="GP78">
        <f t="shared" si="94"/>
        <v>6946.41</v>
      </c>
      <c r="GR78">
        <v>0</v>
      </c>
      <c r="GS78">
        <v>3</v>
      </c>
      <c r="GT78">
        <v>0</v>
      </c>
      <c r="GU78" t="s">
        <v>3</v>
      </c>
      <c r="GV78">
        <f t="shared" si="95"/>
        <v>0</v>
      </c>
      <c r="GW78">
        <v>1</v>
      </c>
      <c r="GX78">
        <f t="shared" si="96"/>
        <v>0</v>
      </c>
      <c r="HA78">
        <v>0</v>
      </c>
      <c r="HB78">
        <v>0</v>
      </c>
      <c r="HC78">
        <f t="shared" si="97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1</v>
      </c>
      <c r="D79">
        <f>ROW(EtalonRes!A32)</f>
        <v>32</v>
      </c>
      <c r="E79" t="s">
        <v>3</v>
      </c>
      <c r="F79" t="s">
        <v>131</v>
      </c>
      <c r="G79" t="s">
        <v>132</v>
      </c>
      <c r="H79" t="s">
        <v>18</v>
      </c>
      <c r="I79">
        <f>ROUND(1009/100,9)</f>
        <v>10.09</v>
      </c>
      <c r="J79">
        <v>0</v>
      </c>
      <c r="K79">
        <f>ROUND(1009/100,9)</f>
        <v>10.09</v>
      </c>
      <c r="O79">
        <f t="shared" si="65"/>
        <v>30276.76</v>
      </c>
      <c r="P79">
        <f t="shared" si="66"/>
        <v>2946.99</v>
      </c>
      <c r="Q79">
        <f t="shared" si="67"/>
        <v>182.02</v>
      </c>
      <c r="R79">
        <f t="shared" si="68"/>
        <v>0.91</v>
      </c>
      <c r="S79">
        <f t="shared" si="69"/>
        <v>27147.75</v>
      </c>
      <c r="T79">
        <f t="shared" si="70"/>
        <v>0</v>
      </c>
      <c r="U79">
        <f t="shared" si="71"/>
        <v>47.624799999999993</v>
      </c>
      <c r="V79">
        <f t="shared" si="72"/>
        <v>0</v>
      </c>
      <c r="W79">
        <f t="shared" si="73"/>
        <v>0</v>
      </c>
      <c r="X79">
        <f t="shared" si="74"/>
        <v>19003.43</v>
      </c>
      <c r="Y79">
        <f t="shared" si="75"/>
        <v>2714.78</v>
      </c>
      <c r="AA79">
        <v>-1</v>
      </c>
      <c r="AB79">
        <f t="shared" si="76"/>
        <v>3000.67</v>
      </c>
      <c r="AC79">
        <f>ROUND((ES79),6)</f>
        <v>292.07</v>
      </c>
      <c r="AD79">
        <f>ROUND((((ET79)-(EU79))+AE79),6)</f>
        <v>18.04</v>
      </c>
      <c r="AE79">
        <f>ROUND((EU79),6)</f>
        <v>0.09</v>
      </c>
      <c r="AF79">
        <f>ROUND((EV79),6)</f>
        <v>2690.56</v>
      </c>
      <c r="AG79">
        <f t="shared" si="77"/>
        <v>0</v>
      </c>
      <c r="AH79">
        <f>(EW79)</f>
        <v>4.72</v>
      </c>
      <c r="AI79">
        <f>(EX79)</f>
        <v>0</v>
      </c>
      <c r="AJ79">
        <f t="shared" si="78"/>
        <v>0</v>
      </c>
      <c r="AK79">
        <v>3000.67</v>
      </c>
      <c r="AL79">
        <v>292.07</v>
      </c>
      <c r="AM79">
        <v>18.04</v>
      </c>
      <c r="AN79">
        <v>0.09</v>
      </c>
      <c r="AO79">
        <v>2690.56</v>
      </c>
      <c r="AP79">
        <v>0</v>
      </c>
      <c r="AQ79">
        <v>4.72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133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79"/>
        <v>30276.76</v>
      </c>
      <c r="CQ79">
        <f t="shared" si="80"/>
        <v>292.07</v>
      </c>
      <c r="CR79">
        <f>((((ET79)*BB79-(EU79)*BS79)+AE79*BS79)*AV79)</f>
        <v>18.04</v>
      </c>
      <c r="CS79">
        <f t="shared" si="81"/>
        <v>0.09</v>
      </c>
      <c r="CT79">
        <f t="shared" si="82"/>
        <v>2690.56</v>
      </c>
      <c r="CU79">
        <f t="shared" si="83"/>
        <v>0</v>
      </c>
      <c r="CV79">
        <f t="shared" si="84"/>
        <v>4.72</v>
      </c>
      <c r="CW79">
        <f t="shared" si="85"/>
        <v>0</v>
      </c>
      <c r="CX79">
        <f t="shared" si="86"/>
        <v>0</v>
      </c>
      <c r="CY79">
        <f t="shared" si="87"/>
        <v>19003.424999999999</v>
      </c>
      <c r="CZ79">
        <f t="shared" si="88"/>
        <v>2714.7750000000001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1003</v>
      </c>
      <c r="DV79" t="s">
        <v>18</v>
      </c>
      <c r="DW79" t="s">
        <v>18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1364533919</v>
      </c>
      <c r="EF79">
        <v>1</v>
      </c>
      <c r="EG79" t="s">
        <v>21</v>
      </c>
      <c r="EH79">
        <v>0</v>
      </c>
      <c r="EI79" t="s">
        <v>3</v>
      </c>
      <c r="EJ79">
        <v>4</v>
      </c>
      <c r="EK79">
        <v>0</v>
      </c>
      <c r="EL79" t="s">
        <v>22</v>
      </c>
      <c r="EM79" t="s">
        <v>23</v>
      </c>
      <c r="EO79" t="s">
        <v>3</v>
      </c>
      <c r="EQ79">
        <v>1024</v>
      </c>
      <c r="ER79">
        <v>3000.67</v>
      </c>
      <c r="ES79">
        <v>292.07</v>
      </c>
      <c r="ET79">
        <v>18.04</v>
      </c>
      <c r="EU79">
        <v>0.09</v>
      </c>
      <c r="EV79">
        <v>2690.56</v>
      </c>
      <c r="EW79">
        <v>4.72</v>
      </c>
      <c r="EX79">
        <v>0</v>
      </c>
      <c r="EY79">
        <v>0</v>
      </c>
      <c r="FQ79">
        <v>0</v>
      </c>
      <c r="FR79">
        <f t="shared" si="89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-1593095587</v>
      </c>
      <c r="GG79">
        <v>2</v>
      </c>
      <c r="GH79">
        <v>1</v>
      </c>
      <c r="GI79">
        <v>-2</v>
      </c>
      <c r="GJ79">
        <v>0</v>
      </c>
      <c r="GK79">
        <f>ROUND(R79*(R12)/100,2)</f>
        <v>0.98</v>
      </c>
      <c r="GL79">
        <f t="shared" si="90"/>
        <v>0</v>
      </c>
      <c r="GM79">
        <f t="shared" si="91"/>
        <v>51995.95</v>
      </c>
      <c r="GN79">
        <f t="shared" si="92"/>
        <v>0</v>
      </c>
      <c r="GO79">
        <f t="shared" si="93"/>
        <v>0</v>
      </c>
      <c r="GP79">
        <f t="shared" si="94"/>
        <v>51995.95</v>
      </c>
      <c r="GR79">
        <v>0</v>
      </c>
      <c r="GS79">
        <v>3</v>
      </c>
      <c r="GT79">
        <v>0</v>
      </c>
      <c r="GU79" t="s">
        <v>3</v>
      </c>
      <c r="GV79">
        <f t="shared" si="95"/>
        <v>0</v>
      </c>
      <c r="GW79">
        <v>1</v>
      </c>
      <c r="GX79">
        <f t="shared" si="96"/>
        <v>0</v>
      </c>
      <c r="HA79">
        <v>0</v>
      </c>
      <c r="HB79">
        <v>0</v>
      </c>
      <c r="HC79">
        <f t="shared" si="97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ROW(EtalonRes!A34)</f>
        <v>34</v>
      </c>
      <c r="E80" t="s">
        <v>134</v>
      </c>
      <c r="F80" t="s">
        <v>135</v>
      </c>
      <c r="G80" t="s">
        <v>136</v>
      </c>
      <c r="H80" t="s">
        <v>42</v>
      </c>
      <c r="I80">
        <v>1</v>
      </c>
      <c r="J80">
        <v>0</v>
      </c>
      <c r="K80">
        <v>1</v>
      </c>
      <c r="O80">
        <f t="shared" si="65"/>
        <v>1004.64</v>
      </c>
      <c r="P80">
        <f t="shared" si="66"/>
        <v>0.17</v>
      </c>
      <c r="Q80">
        <f t="shared" si="67"/>
        <v>0</v>
      </c>
      <c r="R80">
        <f t="shared" si="68"/>
        <v>0</v>
      </c>
      <c r="S80">
        <f t="shared" si="69"/>
        <v>1004.47</v>
      </c>
      <c r="T80">
        <f t="shared" si="70"/>
        <v>0</v>
      </c>
      <c r="U80">
        <f t="shared" si="71"/>
        <v>2.08</v>
      </c>
      <c r="V80">
        <f t="shared" si="72"/>
        <v>0</v>
      </c>
      <c r="W80">
        <f t="shared" si="73"/>
        <v>0</v>
      </c>
      <c r="X80">
        <f t="shared" si="74"/>
        <v>703.13</v>
      </c>
      <c r="Y80">
        <f t="shared" si="75"/>
        <v>100.45</v>
      </c>
      <c r="AA80">
        <v>1407491423</v>
      </c>
      <c r="AB80">
        <f t="shared" si="76"/>
        <v>1004.64</v>
      </c>
      <c r="AC80">
        <f>ROUND((ES80),6)</f>
        <v>0.17</v>
      </c>
      <c r="AD80">
        <f>ROUND((((ET80)-(EU80))+AE80),6)</f>
        <v>0</v>
      </c>
      <c r="AE80">
        <f>ROUND((EU80),6)</f>
        <v>0</v>
      </c>
      <c r="AF80">
        <f>ROUND((EV80),6)</f>
        <v>1004.47</v>
      </c>
      <c r="AG80">
        <f t="shared" si="77"/>
        <v>0</v>
      </c>
      <c r="AH80">
        <f>(EW80)</f>
        <v>2.08</v>
      </c>
      <c r="AI80">
        <f>(EX80)</f>
        <v>0</v>
      </c>
      <c r="AJ80">
        <f t="shared" si="78"/>
        <v>0</v>
      </c>
      <c r="AK80">
        <v>1004.64</v>
      </c>
      <c r="AL80">
        <v>0.17</v>
      </c>
      <c r="AM80">
        <v>0</v>
      </c>
      <c r="AN80">
        <v>0</v>
      </c>
      <c r="AO80">
        <v>1004.47</v>
      </c>
      <c r="AP80">
        <v>0</v>
      </c>
      <c r="AQ80">
        <v>2.08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137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79"/>
        <v>1004.64</v>
      </c>
      <c r="CQ80">
        <f t="shared" si="80"/>
        <v>0.17</v>
      </c>
      <c r="CR80">
        <f>((((ET80)*BB80-(EU80)*BS80)+AE80*BS80)*AV80)</f>
        <v>0</v>
      </c>
      <c r="CS80">
        <f t="shared" si="81"/>
        <v>0</v>
      </c>
      <c r="CT80">
        <f t="shared" si="82"/>
        <v>1004.47</v>
      </c>
      <c r="CU80">
        <f t="shared" si="83"/>
        <v>0</v>
      </c>
      <c r="CV80">
        <f t="shared" si="84"/>
        <v>2.08</v>
      </c>
      <c r="CW80">
        <f t="shared" si="85"/>
        <v>0</v>
      </c>
      <c r="CX80">
        <f t="shared" si="86"/>
        <v>0</v>
      </c>
      <c r="CY80">
        <f t="shared" si="87"/>
        <v>703.12900000000013</v>
      </c>
      <c r="CZ80">
        <f t="shared" si="88"/>
        <v>100.447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42</v>
      </c>
      <c r="DW80" t="s">
        <v>42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1364533919</v>
      </c>
      <c r="EF80">
        <v>1</v>
      </c>
      <c r="EG80" t="s">
        <v>21</v>
      </c>
      <c r="EH80">
        <v>0</v>
      </c>
      <c r="EI80" t="s">
        <v>3</v>
      </c>
      <c r="EJ80">
        <v>4</v>
      </c>
      <c r="EK80">
        <v>0</v>
      </c>
      <c r="EL80" t="s">
        <v>22</v>
      </c>
      <c r="EM80" t="s">
        <v>23</v>
      </c>
      <c r="EO80" t="s">
        <v>3</v>
      </c>
      <c r="EQ80">
        <v>0</v>
      </c>
      <c r="ER80">
        <v>1004.64</v>
      </c>
      <c r="ES80">
        <v>0.17</v>
      </c>
      <c r="ET80">
        <v>0</v>
      </c>
      <c r="EU80">
        <v>0</v>
      </c>
      <c r="EV80">
        <v>1004.47</v>
      </c>
      <c r="EW80">
        <v>2.08</v>
      </c>
      <c r="EX80">
        <v>0</v>
      </c>
      <c r="EY80">
        <v>0</v>
      </c>
      <c r="FQ80">
        <v>0</v>
      </c>
      <c r="FR80">
        <f t="shared" si="89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1810436198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0"/>
        <v>0</v>
      </c>
      <c r="GM80">
        <f t="shared" si="91"/>
        <v>1808.22</v>
      </c>
      <c r="GN80">
        <f t="shared" si="92"/>
        <v>0</v>
      </c>
      <c r="GO80">
        <f t="shared" si="93"/>
        <v>0</v>
      </c>
      <c r="GP80">
        <f t="shared" si="94"/>
        <v>1808.22</v>
      </c>
      <c r="GR80">
        <v>0</v>
      </c>
      <c r="GS80">
        <v>3</v>
      </c>
      <c r="GT80">
        <v>0</v>
      </c>
      <c r="GU80" t="s">
        <v>3</v>
      </c>
      <c r="GV80">
        <f t="shared" si="95"/>
        <v>0</v>
      </c>
      <c r="GW80">
        <v>1</v>
      </c>
      <c r="GX80">
        <f t="shared" si="96"/>
        <v>0</v>
      </c>
      <c r="HA80">
        <v>0</v>
      </c>
      <c r="HB80">
        <v>0</v>
      </c>
      <c r="HC80">
        <f t="shared" si="97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ROW(EtalonRes!A36)</f>
        <v>36</v>
      </c>
      <c r="E81" t="s">
        <v>138</v>
      </c>
      <c r="F81" t="s">
        <v>70</v>
      </c>
      <c r="G81" t="s">
        <v>71</v>
      </c>
      <c r="H81" t="s">
        <v>37</v>
      </c>
      <c r="I81">
        <f>ROUND(1/10,9)</f>
        <v>0.1</v>
      </c>
      <c r="J81">
        <v>0</v>
      </c>
      <c r="K81">
        <f>ROUND(1/10,9)</f>
        <v>0.1</v>
      </c>
      <c r="O81">
        <f t="shared" si="65"/>
        <v>191.06</v>
      </c>
      <c r="P81">
        <f t="shared" si="66"/>
        <v>0.1</v>
      </c>
      <c r="Q81">
        <f t="shared" si="67"/>
        <v>0</v>
      </c>
      <c r="R81">
        <f t="shared" si="68"/>
        <v>0</v>
      </c>
      <c r="S81">
        <f t="shared" si="69"/>
        <v>190.96</v>
      </c>
      <c r="T81">
        <f t="shared" si="70"/>
        <v>0</v>
      </c>
      <c r="U81">
        <f t="shared" si="71"/>
        <v>0.36000000000000004</v>
      </c>
      <c r="V81">
        <f t="shared" si="72"/>
        <v>0</v>
      </c>
      <c r="W81">
        <f t="shared" si="73"/>
        <v>0</v>
      </c>
      <c r="X81">
        <f t="shared" si="74"/>
        <v>133.66999999999999</v>
      </c>
      <c r="Y81">
        <f t="shared" si="75"/>
        <v>19.100000000000001</v>
      </c>
      <c r="AA81">
        <v>1407491423</v>
      </c>
      <c r="AB81">
        <f t="shared" si="76"/>
        <v>1910.68</v>
      </c>
      <c r="AC81">
        <f>ROUND(((ES81*4)),6)</f>
        <v>1.04</v>
      </c>
      <c r="AD81">
        <f>ROUND(((((ET81*4))-((EU81*4)))+AE81),6)</f>
        <v>0</v>
      </c>
      <c r="AE81">
        <f>ROUND(((EU81*4)),6)</f>
        <v>0</v>
      </c>
      <c r="AF81">
        <f>ROUND(((EV81*4)),6)</f>
        <v>1909.64</v>
      </c>
      <c r="AG81">
        <f t="shared" si="77"/>
        <v>0</v>
      </c>
      <c r="AH81">
        <f>((EW81*4))</f>
        <v>3.6</v>
      </c>
      <c r="AI81">
        <f>((EX81*4))</f>
        <v>0</v>
      </c>
      <c r="AJ81">
        <f t="shared" si="78"/>
        <v>0</v>
      </c>
      <c r="AK81">
        <v>477.67</v>
      </c>
      <c r="AL81">
        <v>0.26</v>
      </c>
      <c r="AM81">
        <v>0</v>
      </c>
      <c r="AN81">
        <v>0</v>
      </c>
      <c r="AO81">
        <v>477.41</v>
      </c>
      <c r="AP81">
        <v>0</v>
      </c>
      <c r="AQ81">
        <v>0.9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72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79"/>
        <v>191.06</v>
      </c>
      <c r="CQ81">
        <f t="shared" si="80"/>
        <v>1.04</v>
      </c>
      <c r="CR81">
        <f>(((((ET81*4))*BB81-((EU81*4))*BS81)+AE81*BS81)*AV81)</f>
        <v>0</v>
      </c>
      <c r="CS81">
        <f t="shared" si="81"/>
        <v>0</v>
      </c>
      <c r="CT81">
        <f t="shared" si="82"/>
        <v>1909.64</v>
      </c>
      <c r="CU81">
        <f t="shared" si="83"/>
        <v>0</v>
      </c>
      <c r="CV81">
        <f t="shared" si="84"/>
        <v>3.6</v>
      </c>
      <c r="CW81">
        <f t="shared" si="85"/>
        <v>0</v>
      </c>
      <c r="CX81">
        <f t="shared" si="86"/>
        <v>0</v>
      </c>
      <c r="CY81">
        <f t="shared" si="87"/>
        <v>133.672</v>
      </c>
      <c r="CZ81">
        <f t="shared" si="88"/>
        <v>19.096</v>
      </c>
      <c r="DC81" t="s">
        <v>3</v>
      </c>
      <c r="DD81" t="s">
        <v>20</v>
      </c>
      <c r="DE81" t="s">
        <v>20</v>
      </c>
      <c r="DF81" t="s">
        <v>20</v>
      </c>
      <c r="DG81" t="s">
        <v>20</v>
      </c>
      <c r="DH81" t="s">
        <v>3</v>
      </c>
      <c r="DI81" t="s">
        <v>20</v>
      </c>
      <c r="DJ81" t="s">
        <v>20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37</v>
      </c>
      <c r="DW81" t="s">
        <v>37</v>
      </c>
      <c r="DX81">
        <v>10</v>
      </c>
      <c r="DZ81" t="s">
        <v>3</v>
      </c>
      <c r="EA81" t="s">
        <v>3</v>
      </c>
      <c r="EB81" t="s">
        <v>3</v>
      </c>
      <c r="EC81" t="s">
        <v>3</v>
      </c>
      <c r="EE81">
        <v>1364533919</v>
      </c>
      <c r="EF81">
        <v>1</v>
      </c>
      <c r="EG81" t="s">
        <v>21</v>
      </c>
      <c r="EH81">
        <v>0</v>
      </c>
      <c r="EI81" t="s">
        <v>3</v>
      </c>
      <c r="EJ81">
        <v>4</v>
      </c>
      <c r="EK81">
        <v>0</v>
      </c>
      <c r="EL81" t="s">
        <v>22</v>
      </c>
      <c r="EM81" t="s">
        <v>23</v>
      </c>
      <c r="EO81" t="s">
        <v>3</v>
      </c>
      <c r="EQ81">
        <v>0</v>
      </c>
      <c r="ER81">
        <v>477.67</v>
      </c>
      <c r="ES81">
        <v>0.26</v>
      </c>
      <c r="ET81">
        <v>0</v>
      </c>
      <c r="EU81">
        <v>0</v>
      </c>
      <c r="EV81">
        <v>477.41</v>
      </c>
      <c r="EW81">
        <v>0.9</v>
      </c>
      <c r="EX81">
        <v>0</v>
      </c>
      <c r="EY81">
        <v>0</v>
      </c>
      <c r="FQ81">
        <v>0</v>
      </c>
      <c r="FR81">
        <f t="shared" si="89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1505479443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 t="shared" si="90"/>
        <v>0</v>
      </c>
      <c r="GM81">
        <f t="shared" si="91"/>
        <v>343.83</v>
      </c>
      <c r="GN81">
        <f t="shared" si="92"/>
        <v>0</v>
      </c>
      <c r="GO81">
        <f t="shared" si="93"/>
        <v>0</v>
      </c>
      <c r="GP81">
        <f t="shared" si="94"/>
        <v>343.83</v>
      </c>
      <c r="GR81">
        <v>0</v>
      </c>
      <c r="GS81">
        <v>3</v>
      </c>
      <c r="GT81">
        <v>0</v>
      </c>
      <c r="GU81" t="s">
        <v>3</v>
      </c>
      <c r="GV81">
        <f t="shared" si="95"/>
        <v>0</v>
      </c>
      <c r="GW81">
        <v>1</v>
      </c>
      <c r="GX81">
        <f t="shared" si="96"/>
        <v>0</v>
      </c>
      <c r="HA81">
        <v>0</v>
      </c>
      <c r="HB81">
        <v>0</v>
      </c>
      <c r="HC81">
        <f t="shared" si="97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ROW(EtalonRes!A41)</f>
        <v>41</v>
      </c>
      <c r="E82" t="s">
        <v>3</v>
      </c>
      <c r="F82" t="s">
        <v>139</v>
      </c>
      <c r="G82" t="s">
        <v>140</v>
      </c>
      <c r="H82" t="s">
        <v>42</v>
      </c>
      <c r="I82">
        <v>1</v>
      </c>
      <c r="J82">
        <v>0</v>
      </c>
      <c r="K82">
        <v>1</v>
      </c>
      <c r="O82">
        <f t="shared" si="65"/>
        <v>13576.16</v>
      </c>
      <c r="P82">
        <f t="shared" si="66"/>
        <v>5849.44</v>
      </c>
      <c r="Q82">
        <f t="shared" si="67"/>
        <v>0</v>
      </c>
      <c r="R82">
        <f t="shared" si="68"/>
        <v>0</v>
      </c>
      <c r="S82">
        <f t="shared" si="69"/>
        <v>7726.72</v>
      </c>
      <c r="T82">
        <f t="shared" si="70"/>
        <v>0</v>
      </c>
      <c r="U82">
        <f t="shared" si="71"/>
        <v>16</v>
      </c>
      <c r="V82">
        <f t="shared" si="72"/>
        <v>0</v>
      </c>
      <c r="W82">
        <f t="shared" si="73"/>
        <v>0</v>
      </c>
      <c r="X82">
        <f t="shared" si="74"/>
        <v>5408.7</v>
      </c>
      <c r="Y82">
        <f t="shared" si="75"/>
        <v>772.67</v>
      </c>
      <c r="AA82">
        <v>-1</v>
      </c>
      <c r="AB82">
        <f t="shared" si="76"/>
        <v>13576.16</v>
      </c>
      <c r="AC82">
        <f>ROUND((ES82),6)</f>
        <v>5849.44</v>
      </c>
      <c r="AD82">
        <f>ROUND((((ET82)-(EU82))+AE82),6)</f>
        <v>0</v>
      </c>
      <c r="AE82">
        <f>ROUND((EU82),6)</f>
        <v>0</v>
      </c>
      <c r="AF82">
        <f>ROUND((EV82),6)</f>
        <v>7726.72</v>
      </c>
      <c r="AG82">
        <f t="shared" si="77"/>
        <v>0</v>
      </c>
      <c r="AH82">
        <f>(EW82)</f>
        <v>16</v>
      </c>
      <c r="AI82">
        <f>(EX82)</f>
        <v>0</v>
      </c>
      <c r="AJ82">
        <f t="shared" si="78"/>
        <v>0</v>
      </c>
      <c r="AK82">
        <v>13576.16</v>
      </c>
      <c r="AL82">
        <v>5849.44</v>
      </c>
      <c r="AM82">
        <v>0</v>
      </c>
      <c r="AN82">
        <v>0</v>
      </c>
      <c r="AO82">
        <v>7726.72</v>
      </c>
      <c r="AP82">
        <v>0</v>
      </c>
      <c r="AQ82">
        <v>16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141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79"/>
        <v>13576.16</v>
      </c>
      <c r="CQ82">
        <f t="shared" si="80"/>
        <v>5849.44</v>
      </c>
      <c r="CR82">
        <f>((((ET82)*BB82-(EU82)*BS82)+AE82*BS82)*AV82)</f>
        <v>0</v>
      </c>
      <c r="CS82">
        <f t="shared" si="81"/>
        <v>0</v>
      </c>
      <c r="CT82">
        <f t="shared" si="82"/>
        <v>7726.72</v>
      </c>
      <c r="CU82">
        <f t="shared" si="83"/>
        <v>0</v>
      </c>
      <c r="CV82">
        <f t="shared" si="84"/>
        <v>16</v>
      </c>
      <c r="CW82">
        <f t="shared" si="85"/>
        <v>0</v>
      </c>
      <c r="CX82">
        <f t="shared" si="86"/>
        <v>0</v>
      </c>
      <c r="CY82">
        <f t="shared" si="87"/>
        <v>5408.7040000000006</v>
      </c>
      <c r="CZ82">
        <f t="shared" si="88"/>
        <v>772.67200000000003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42</v>
      </c>
      <c r="DW82" t="s">
        <v>42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1364533919</v>
      </c>
      <c r="EF82">
        <v>1</v>
      </c>
      <c r="EG82" t="s">
        <v>21</v>
      </c>
      <c r="EH82">
        <v>0</v>
      </c>
      <c r="EI82" t="s">
        <v>3</v>
      </c>
      <c r="EJ82">
        <v>4</v>
      </c>
      <c r="EK82">
        <v>0</v>
      </c>
      <c r="EL82" t="s">
        <v>22</v>
      </c>
      <c r="EM82" t="s">
        <v>23</v>
      </c>
      <c r="EO82" t="s">
        <v>3</v>
      </c>
      <c r="EQ82">
        <v>1311744</v>
      </c>
      <c r="ER82">
        <v>13576.16</v>
      </c>
      <c r="ES82">
        <v>5849.44</v>
      </c>
      <c r="ET82">
        <v>0</v>
      </c>
      <c r="EU82">
        <v>0</v>
      </c>
      <c r="EV82">
        <v>7726.72</v>
      </c>
      <c r="EW82">
        <v>16</v>
      </c>
      <c r="EX82">
        <v>0</v>
      </c>
      <c r="EY82">
        <v>0</v>
      </c>
      <c r="FQ82">
        <v>0</v>
      </c>
      <c r="FR82">
        <f t="shared" si="89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-1998721810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0"/>
        <v>0</v>
      </c>
      <c r="GM82">
        <f t="shared" si="91"/>
        <v>19757.53</v>
      </c>
      <c r="GN82">
        <f t="shared" si="92"/>
        <v>0</v>
      </c>
      <c r="GO82">
        <f t="shared" si="93"/>
        <v>0</v>
      </c>
      <c r="GP82">
        <f t="shared" si="94"/>
        <v>19757.53</v>
      </c>
      <c r="GR82">
        <v>0</v>
      </c>
      <c r="GS82">
        <v>3</v>
      </c>
      <c r="GT82">
        <v>0</v>
      </c>
      <c r="GU82" t="s">
        <v>3</v>
      </c>
      <c r="GV82">
        <f t="shared" si="95"/>
        <v>0</v>
      </c>
      <c r="GW82">
        <v>1</v>
      </c>
      <c r="GX82">
        <f t="shared" si="96"/>
        <v>0</v>
      </c>
      <c r="HA82">
        <v>0</v>
      </c>
      <c r="HB82">
        <v>0</v>
      </c>
      <c r="HC82">
        <f t="shared" si="97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ROW(EtalonRes!A45)</f>
        <v>45</v>
      </c>
      <c r="E83" t="s">
        <v>3</v>
      </c>
      <c r="F83" t="s">
        <v>142</v>
      </c>
      <c r="G83" t="s">
        <v>143</v>
      </c>
      <c r="H83" t="s">
        <v>42</v>
      </c>
      <c r="I83">
        <v>1</v>
      </c>
      <c r="J83">
        <v>0</v>
      </c>
      <c r="K83">
        <v>1</v>
      </c>
      <c r="O83">
        <f t="shared" si="65"/>
        <v>1856.48</v>
      </c>
      <c r="P83">
        <f t="shared" si="66"/>
        <v>74.16</v>
      </c>
      <c r="Q83">
        <f t="shared" si="67"/>
        <v>0</v>
      </c>
      <c r="R83">
        <f t="shared" si="68"/>
        <v>0</v>
      </c>
      <c r="S83">
        <f t="shared" si="69"/>
        <v>1782.32</v>
      </c>
      <c r="T83">
        <f t="shared" si="70"/>
        <v>0</v>
      </c>
      <c r="U83">
        <f t="shared" si="71"/>
        <v>3.36</v>
      </c>
      <c r="V83">
        <f t="shared" si="72"/>
        <v>0</v>
      </c>
      <c r="W83">
        <f t="shared" si="73"/>
        <v>0</v>
      </c>
      <c r="X83">
        <f t="shared" si="74"/>
        <v>1247.6199999999999</v>
      </c>
      <c r="Y83">
        <f t="shared" si="75"/>
        <v>178.23</v>
      </c>
      <c r="AA83">
        <v>-1</v>
      </c>
      <c r="AB83">
        <f t="shared" si="76"/>
        <v>1856.48</v>
      </c>
      <c r="AC83">
        <f>ROUND(((ES83*4)),6)</f>
        <v>74.16</v>
      </c>
      <c r="AD83">
        <f>ROUND(((((ET83*4))-((EU83*4)))+AE83),6)</f>
        <v>0</v>
      </c>
      <c r="AE83">
        <f>ROUND(((EU83*4)),6)</f>
        <v>0</v>
      </c>
      <c r="AF83">
        <f>ROUND(((EV83*4)),6)</f>
        <v>1782.32</v>
      </c>
      <c r="AG83">
        <f t="shared" si="77"/>
        <v>0</v>
      </c>
      <c r="AH83">
        <f>((EW83*4))</f>
        <v>3.36</v>
      </c>
      <c r="AI83">
        <f>((EX83*4))</f>
        <v>0</v>
      </c>
      <c r="AJ83">
        <f t="shared" si="78"/>
        <v>0</v>
      </c>
      <c r="AK83">
        <v>464.12</v>
      </c>
      <c r="AL83">
        <v>18.54</v>
      </c>
      <c r="AM83">
        <v>0</v>
      </c>
      <c r="AN83">
        <v>0</v>
      </c>
      <c r="AO83">
        <v>445.58</v>
      </c>
      <c r="AP83">
        <v>0</v>
      </c>
      <c r="AQ83">
        <v>0.84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144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79"/>
        <v>1856.48</v>
      </c>
      <c r="CQ83">
        <f t="shared" si="80"/>
        <v>74.16</v>
      </c>
      <c r="CR83">
        <f>(((((ET83*4))*BB83-((EU83*4))*BS83)+AE83*BS83)*AV83)</f>
        <v>0</v>
      </c>
      <c r="CS83">
        <f t="shared" si="81"/>
        <v>0</v>
      </c>
      <c r="CT83">
        <f t="shared" si="82"/>
        <v>1782.32</v>
      </c>
      <c r="CU83">
        <f t="shared" si="83"/>
        <v>0</v>
      </c>
      <c r="CV83">
        <f t="shared" si="84"/>
        <v>3.36</v>
      </c>
      <c r="CW83">
        <f t="shared" si="85"/>
        <v>0</v>
      </c>
      <c r="CX83">
        <f t="shared" si="86"/>
        <v>0</v>
      </c>
      <c r="CY83">
        <f t="shared" si="87"/>
        <v>1247.624</v>
      </c>
      <c r="CZ83">
        <f t="shared" si="88"/>
        <v>178.232</v>
      </c>
      <c r="DC83" t="s">
        <v>3</v>
      </c>
      <c r="DD83" t="s">
        <v>20</v>
      </c>
      <c r="DE83" t="s">
        <v>20</v>
      </c>
      <c r="DF83" t="s">
        <v>20</v>
      </c>
      <c r="DG83" t="s">
        <v>20</v>
      </c>
      <c r="DH83" t="s">
        <v>3</v>
      </c>
      <c r="DI83" t="s">
        <v>20</v>
      </c>
      <c r="DJ83" t="s">
        <v>20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42</v>
      </c>
      <c r="DW83" t="s">
        <v>42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1364533919</v>
      </c>
      <c r="EF83">
        <v>1</v>
      </c>
      <c r="EG83" t="s">
        <v>21</v>
      </c>
      <c r="EH83">
        <v>0</v>
      </c>
      <c r="EI83" t="s">
        <v>3</v>
      </c>
      <c r="EJ83">
        <v>4</v>
      </c>
      <c r="EK83">
        <v>0</v>
      </c>
      <c r="EL83" t="s">
        <v>22</v>
      </c>
      <c r="EM83" t="s">
        <v>23</v>
      </c>
      <c r="EO83" t="s">
        <v>3</v>
      </c>
      <c r="EQ83">
        <v>1024</v>
      </c>
      <c r="ER83">
        <v>464.12</v>
      </c>
      <c r="ES83">
        <v>18.54</v>
      </c>
      <c r="ET83">
        <v>0</v>
      </c>
      <c r="EU83">
        <v>0</v>
      </c>
      <c r="EV83">
        <v>445.58</v>
      </c>
      <c r="EW83">
        <v>0.84</v>
      </c>
      <c r="EX83">
        <v>0</v>
      </c>
      <c r="EY83">
        <v>0</v>
      </c>
      <c r="FQ83">
        <v>0</v>
      </c>
      <c r="FR83">
        <f t="shared" si="89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-421218563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0"/>
        <v>0</v>
      </c>
      <c r="GM83">
        <f t="shared" si="91"/>
        <v>3282.33</v>
      </c>
      <c r="GN83">
        <f t="shared" si="92"/>
        <v>0</v>
      </c>
      <c r="GO83">
        <f t="shared" si="93"/>
        <v>0</v>
      </c>
      <c r="GP83">
        <f t="shared" si="94"/>
        <v>3282.33</v>
      </c>
      <c r="GR83">
        <v>0</v>
      </c>
      <c r="GS83">
        <v>3</v>
      </c>
      <c r="GT83">
        <v>0</v>
      </c>
      <c r="GU83" t="s">
        <v>3</v>
      </c>
      <c r="GV83">
        <f t="shared" si="95"/>
        <v>0</v>
      </c>
      <c r="GW83">
        <v>1</v>
      </c>
      <c r="GX83">
        <f t="shared" si="96"/>
        <v>0</v>
      </c>
      <c r="HA83">
        <v>0</v>
      </c>
      <c r="HB83">
        <v>0</v>
      </c>
      <c r="HC83">
        <f t="shared" si="97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ROW(EtalonRes!A46)</f>
        <v>46</v>
      </c>
      <c r="E84" t="s">
        <v>145</v>
      </c>
      <c r="F84" t="s">
        <v>58</v>
      </c>
      <c r="G84" t="s">
        <v>59</v>
      </c>
      <c r="H84" t="s">
        <v>37</v>
      </c>
      <c r="I84">
        <f>ROUND(1/10,9)</f>
        <v>0.1</v>
      </c>
      <c r="J84">
        <v>0</v>
      </c>
      <c r="K84">
        <f>ROUND(1/10,9)</f>
        <v>0.1</v>
      </c>
      <c r="O84">
        <f t="shared" si="65"/>
        <v>494.38</v>
      </c>
      <c r="P84">
        <f t="shared" si="66"/>
        <v>0</v>
      </c>
      <c r="Q84">
        <f t="shared" si="67"/>
        <v>0</v>
      </c>
      <c r="R84">
        <f t="shared" si="68"/>
        <v>0</v>
      </c>
      <c r="S84">
        <f t="shared" si="69"/>
        <v>494.38</v>
      </c>
      <c r="T84">
        <f t="shared" si="70"/>
        <v>0</v>
      </c>
      <c r="U84">
        <f t="shared" si="71"/>
        <v>0.93200000000000005</v>
      </c>
      <c r="V84">
        <f t="shared" si="72"/>
        <v>0</v>
      </c>
      <c r="W84">
        <f t="shared" si="73"/>
        <v>0</v>
      </c>
      <c r="X84">
        <f t="shared" si="74"/>
        <v>346.07</v>
      </c>
      <c r="Y84">
        <f t="shared" si="75"/>
        <v>49.44</v>
      </c>
      <c r="AA84">
        <v>1407491423</v>
      </c>
      <c r="AB84">
        <f t="shared" si="76"/>
        <v>4943.8</v>
      </c>
      <c r="AC84">
        <f>ROUND(((ES84*4)),6)</f>
        <v>0</v>
      </c>
      <c r="AD84">
        <f>ROUND(((((ET84*4))-((EU84*4)))+AE84),6)</f>
        <v>0</v>
      </c>
      <c r="AE84">
        <f>ROUND(((EU84*4)),6)</f>
        <v>0</v>
      </c>
      <c r="AF84">
        <f>ROUND(((EV84*4)),6)</f>
        <v>4943.8</v>
      </c>
      <c r="AG84">
        <f t="shared" si="77"/>
        <v>0</v>
      </c>
      <c r="AH84">
        <f>((EW84*4))</f>
        <v>9.32</v>
      </c>
      <c r="AI84">
        <f>((EX84*4))</f>
        <v>0</v>
      </c>
      <c r="AJ84">
        <f t="shared" si="78"/>
        <v>0</v>
      </c>
      <c r="AK84">
        <v>1235.95</v>
      </c>
      <c r="AL84">
        <v>0</v>
      </c>
      <c r="AM84">
        <v>0</v>
      </c>
      <c r="AN84">
        <v>0</v>
      </c>
      <c r="AO84">
        <v>1235.95</v>
      </c>
      <c r="AP84">
        <v>0</v>
      </c>
      <c r="AQ84">
        <v>2.33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60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79"/>
        <v>494.38</v>
      </c>
      <c r="CQ84">
        <f t="shared" si="80"/>
        <v>0</v>
      </c>
      <c r="CR84">
        <f>(((((ET84*4))*BB84-((EU84*4))*BS84)+AE84*BS84)*AV84)</f>
        <v>0</v>
      </c>
      <c r="CS84">
        <f t="shared" si="81"/>
        <v>0</v>
      </c>
      <c r="CT84">
        <f t="shared" si="82"/>
        <v>4943.8</v>
      </c>
      <c r="CU84">
        <f t="shared" si="83"/>
        <v>0</v>
      </c>
      <c r="CV84">
        <f t="shared" si="84"/>
        <v>9.32</v>
      </c>
      <c r="CW84">
        <f t="shared" si="85"/>
        <v>0</v>
      </c>
      <c r="CX84">
        <f t="shared" si="86"/>
        <v>0</v>
      </c>
      <c r="CY84">
        <f t="shared" si="87"/>
        <v>346.06599999999997</v>
      </c>
      <c r="CZ84">
        <f t="shared" si="88"/>
        <v>49.438000000000002</v>
      </c>
      <c r="DC84" t="s">
        <v>3</v>
      </c>
      <c r="DD84" t="s">
        <v>20</v>
      </c>
      <c r="DE84" t="s">
        <v>20</v>
      </c>
      <c r="DF84" t="s">
        <v>20</v>
      </c>
      <c r="DG84" t="s">
        <v>20</v>
      </c>
      <c r="DH84" t="s">
        <v>3</v>
      </c>
      <c r="DI84" t="s">
        <v>20</v>
      </c>
      <c r="DJ84" t="s">
        <v>20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37</v>
      </c>
      <c r="DW84" t="s">
        <v>37</v>
      </c>
      <c r="DX84">
        <v>10</v>
      </c>
      <c r="DZ84" t="s">
        <v>3</v>
      </c>
      <c r="EA84" t="s">
        <v>3</v>
      </c>
      <c r="EB84" t="s">
        <v>3</v>
      </c>
      <c r="EC84" t="s">
        <v>3</v>
      </c>
      <c r="EE84">
        <v>1364533919</v>
      </c>
      <c r="EF84">
        <v>1</v>
      </c>
      <c r="EG84" t="s">
        <v>21</v>
      </c>
      <c r="EH84">
        <v>0</v>
      </c>
      <c r="EI84" t="s">
        <v>3</v>
      </c>
      <c r="EJ84">
        <v>4</v>
      </c>
      <c r="EK84">
        <v>0</v>
      </c>
      <c r="EL84" t="s">
        <v>22</v>
      </c>
      <c r="EM84" t="s">
        <v>23</v>
      </c>
      <c r="EO84" t="s">
        <v>3</v>
      </c>
      <c r="EQ84">
        <v>0</v>
      </c>
      <c r="ER84">
        <v>1235.95</v>
      </c>
      <c r="ES84">
        <v>0</v>
      </c>
      <c r="ET84">
        <v>0</v>
      </c>
      <c r="EU84">
        <v>0</v>
      </c>
      <c r="EV84">
        <v>1235.95</v>
      </c>
      <c r="EW84">
        <v>2.33</v>
      </c>
      <c r="EX84">
        <v>0</v>
      </c>
      <c r="EY84">
        <v>0</v>
      </c>
      <c r="FQ84">
        <v>0</v>
      </c>
      <c r="FR84">
        <f t="shared" si="89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-160974380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0"/>
        <v>0</v>
      </c>
      <c r="GM84">
        <f t="shared" si="91"/>
        <v>889.89</v>
      </c>
      <c r="GN84">
        <f t="shared" si="92"/>
        <v>0</v>
      </c>
      <c r="GO84">
        <f t="shared" si="93"/>
        <v>0</v>
      </c>
      <c r="GP84">
        <f t="shared" si="94"/>
        <v>889.89</v>
      </c>
      <c r="GR84">
        <v>0</v>
      </c>
      <c r="GS84">
        <v>3</v>
      </c>
      <c r="GT84">
        <v>0</v>
      </c>
      <c r="GU84" t="s">
        <v>3</v>
      </c>
      <c r="GV84">
        <f t="shared" si="95"/>
        <v>0</v>
      </c>
      <c r="GW84">
        <v>1</v>
      </c>
      <c r="GX84">
        <f t="shared" si="96"/>
        <v>0</v>
      </c>
      <c r="HA84">
        <v>0</v>
      </c>
      <c r="HB84">
        <v>0</v>
      </c>
      <c r="HC84">
        <f t="shared" si="97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ROW(EtalonRes!A49)</f>
        <v>49</v>
      </c>
      <c r="E85" t="s">
        <v>146</v>
      </c>
      <c r="F85" t="s">
        <v>147</v>
      </c>
      <c r="G85" t="s">
        <v>148</v>
      </c>
      <c r="H85" t="s">
        <v>149</v>
      </c>
      <c r="I85">
        <f>ROUND(22/100,9)</f>
        <v>0.22</v>
      </c>
      <c r="J85">
        <v>0</v>
      </c>
      <c r="K85">
        <f>ROUND(22/100,9)</f>
        <v>0.22</v>
      </c>
      <c r="O85">
        <f t="shared" si="65"/>
        <v>1553.01</v>
      </c>
      <c r="P85">
        <f t="shared" si="66"/>
        <v>132.51</v>
      </c>
      <c r="Q85">
        <f t="shared" si="67"/>
        <v>0</v>
      </c>
      <c r="R85">
        <f t="shared" si="68"/>
        <v>0</v>
      </c>
      <c r="S85">
        <f t="shared" si="69"/>
        <v>1420.5</v>
      </c>
      <c r="T85">
        <f t="shared" si="70"/>
        <v>0</v>
      </c>
      <c r="U85">
        <f t="shared" si="71"/>
        <v>3.2625999999999999</v>
      </c>
      <c r="V85">
        <f t="shared" si="72"/>
        <v>0</v>
      </c>
      <c r="W85">
        <f t="shared" si="73"/>
        <v>0</v>
      </c>
      <c r="X85">
        <f t="shared" si="74"/>
        <v>994.35</v>
      </c>
      <c r="Y85">
        <f t="shared" si="75"/>
        <v>142.05000000000001</v>
      </c>
      <c r="AA85">
        <v>1407491423</v>
      </c>
      <c r="AB85">
        <f t="shared" si="76"/>
        <v>7059.17</v>
      </c>
      <c r="AC85">
        <f>ROUND((ES85),6)</f>
        <v>602.34</v>
      </c>
      <c r="AD85">
        <f>ROUND((((ET85)-(EU85))+AE85),6)</f>
        <v>0</v>
      </c>
      <c r="AE85">
        <f>ROUND((EU85),6)</f>
        <v>0</v>
      </c>
      <c r="AF85">
        <f>ROUND((EV85),6)</f>
        <v>6456.83</v>
      </c>
      <c r="AG85">
        <f t="shared" si="77"/>
        <v>0</v>
      </c>
      <c r="AH85">
        <f>(EW85)</f>
        <v>14.83</v>
      </c>
      <c r="AI85">
        <f>(EX85)</f>
        <v>0</v>
      </c>
      <c r="AJ85">
        <f t="shared" si="78"/>
        <v>0</v>
      </c>
      <c r="AK85">
        <v>7059.17</v>
      </c>
      <c r="AL85">
        <v>602.34</v>
      </c>
      <c r="AM85">
        <v>0</v>
      </c>
      <c r="AN85">
        <v>0</v>
      </c>
      <c r="AO85">
        <v>6456.83</v>
      </c>
      <c r="AP85">
        <v>0</v>
      </c>
      <c r="AQ85">
        <v>14.83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150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79"/>
        <v>1553.01</v>
      </c>
      <c r="CQ85">
        <f t="shared" si="80"/>
        <v>602.34</v>
      </c>
      <c r="CR85">
        <f>((((ET85)*BB85-(EU85)*BS85)+AE85*BS85)*AV85)</f>
        <v>0</v>
      </c>
      <c r="CS85">
        <f t="shared" si="81"/>
        <v>0</v>
      </c>
      <c r="CT85">
        <f t="shared" si="82"/>
        <v>6456.83</v>
      </c>
      <c r="CU85">
        <f t="shared" si="83"/>
        <v>0</v>
      </c>
      <c r="CV85">
        <f t="shared" si="84"/>
        <v>14.83</v>
      </c>
      <c r="CW85">
        <f t="shared" si="85"/>
        <v>0</v>
      </c>
      <c r="CX85">
        <f t="shared" si="86"/>
        <v>0</v>
      </c>
      <c r="CY85">
        <f t="shared" si="87"/>
        <v>994.35</v>
      </c>
      <c r="CZ85">
        <f t="shared" si="88"/>
        <v>142.05000000000001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149</v>
      </c>
      <c r="DW85" t="s">
        <v>149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1364533919</v>
      </c>
      <c r="EF85">
        <v>1</v>
      </c>
      <c r="EG85" t="s">
        <v>21</v>
      </c>
      <c r="EH85">
        <v>0</v>
      </c>
      <c r="EI85" t="s">
        <v>3</v>
      </c>
      <c r="EJ85">
        <v>4</v>
      </c>
      <c r="EK85">
        <v>0</v>
      </c>
      <c r="EL85" t="s">
        <v>22</v>
      </c>
      <c r="EM85" t="s">
        <v>23</v>
      </c>
      <c r="EO85" t="s">
        <v>3</v>
      </c>
      <c r="EQ85">
        <v>0</v>
      </c>
      <c r="ER85">
        <v>7059.17</v>
      </c>
      <c r="ES85">
        <v>602.34</v>
      </c>
      <c r="ET85">
        <v>0</v>
      </c>
      <c r="EU85">
        <v>0</v>
      </c>
      <c r="EV85">
        <v>6456.83</v>
      </c>
      <c r="EW85">
        <v>14.83</v>
      </c>
      <c r="EX85">
        <v>0</v>
      </c>
      <c r="EY85">
        <v>0</v>
      </c>
      <c r="FQ85">
        <v>0</v>
      </c>
      <c r="FR85">
        <f t="shared" si="89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-947607855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0"/>
        <v>0</v>
      </c>
      <c r="GM85">
        <f t="shared" si="91"/>
        <v>2689.41</v>
      </c>
      <c r="GN85">
        <f t="shared" si="92"/>
        <v>0</v>
      </c>
      <c r="GO85">
        <f t="shared" si="93"/>
        <v>0</v>
      </c>
      <c r="GP85">
        <f t="shared" si="94"/>
        <v>2689.41</v>
      </c>
      <c r="GR85">
        <v>0</v>
      </c>
      <c r="GS85">
        <v>3</v>
      </c>
      <c r="GT85">
        <v>0</v>
      </c>
      <c r="GU85" t="s">
        <v>3</v>
      </c>
      <c r="GV85">
        <f t="shared" si="95"/>
        <v>0</v>
      </c>
      <c r="GW85">
        <v>1</v>
      </c>
      <c r="GX85">
        <f t="shared" si="96"/>
        <v>0</v>
      </c>
      <c r="HA85">
        <v>0</v>
      </c>
      <c r="HB85">
        <v>0</v>
      </c>
      <c r="HC85">
        <f t="shared" si="97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7" spans="1:245" x14ac:dyDescent="0.2">
      <c r="A87" s="2">
        <v>51</v>
      </c>
      <c r="B87" s="2">
        <f>B73</f>
        <v>1</v>
      </c>
      <c r="C87" s="2">
        <f>A73</f>
        <v>4</v>
      </c>
      <c r="D87" s="2">
        <f>ROW(A73)</f>
        <v>73</v>
      </c>
      <c r="E87" s="2"/>
      <c r="F87" s="2" t="str">
        <f>IF(F73&lt;&gt;"",F73,"")</f>
        <v>Новый раздел</v>
      </c>
      <c r="G87" s="2" t="str">
        <f>IF(G73&lt;&gt;"",G73,"")</f>
        <v>Система водоснабжения</v>
      </c>
      <c r="H87" s="2">
        <v>0</v>
      </c>
      <c r="I87" s="2"/>
      <c r="J87" s="2"/>
      <c r="K87" s="2"/>
      <c r="L87" s="2"/>
      <c r="M87" s="2"/>
      <c r="N87" s="2"/>
      <c r="O87" s="2">
        <f t="shared" ref="O87:T87" si="98">ROUND(AB87,2)</f>
        <v>7540.75</v>
      </c>
      <c r="P87" s="2">
        <f t="shared" si="98"/>
        <v>132.78</v>
      </c>
      <c r="Q87" s="2">
        <f t="shared" si="98"/>
        <v>0</v>
      </c>
      <c r="R87" s="2">
        <f t="shared" si="98"/>
        <v>0</v>
      </c>
      <c r="S87" s="2">
        <f t="shared" si="98"/>
        <v>7407.97</v>
      </c>
      <c r="T87" s="2">
        <f t="shared" si="98"/>
        <v>0</v>
      </c>
      <c r="U87" s="2">
        <f>AH87</f>
        <v>15.53398</v>
      </c>
      <c r="V87" s="2">
        <f>AI87</f>
        <v>0</v>
      </c>
      <c r="W87" s="2">
        <f>ROUND(AJ87,2)</f>
        <v>0</v>
      </c>
      <c r="X87" s="2">
        <f>ROUND(AK87,2)</f>
        <v>5185.58</v>
      </c>
      <c r="Y87" s="2">
        <f>ROUND(AL87,2)</f>
        <v>740.8</v>
      </c>
      <c r="Z87" s="2"/>
      <c r="AA87" s="2"/>
      <c r="AB87" s="2">
        <f>ROUND(SUMIF(AA77:AA85,"=1407491423",O77:O85),2)</f>
        <v>7540.75</v>
      </c>
      <c r="AC87" s="2">
        <f>ROUND(SUMIF(AA77:AA85,"=1407491423",P77:P85),2)</f>
        <v>132.78</v>
      </c>
      <c r="AD87" s="2">
        <f>ROUND(SUMIF(AA77:AA85,"=1407491423",Q77:Q85),2)</f>
        <v>0</v>
      </c>
      <c r="AE87" s="2">
        <f>ROUND(SUMIF(AA77:AA85,"=1407491423",R77:R85),2)</f>
        <v>0</v>
      </c>
      <c r="AF87" s="2">
        <f>ROUND(SUMIF(AA77:AA85,"=1407491423",S77:S85),2)</f>
        <v>7407.97</v>
      </c>
      <c r="AG87" s="2">
        <f>ROUND(SUMIF(AA77:AA85,"=1407491423",T77:T85),2)</f>
        <v>0</v>
      </c>
      <c r="AH87" s="2">
        <f>SUMIF(AA77:AA85,"=1407491423",U77:U85)</f>
        <v>15.53398</v>
      </c>
      <c r="AI87" s="2">
        <f>SUMIF(AA77:AA85,"=1407491423",V77:V85)</f>
        <v>0</v>
      </c>
      <c r="AJ87" s="2">
        <f>ROUND(SUMIF(AA77:AA85,"=1407491423",W77:W85),2)</f>
        <v>0</v>
      </c>
      <c r="AK87" s="2">
        <f>ROUND(SUMIF(AA77:AA85,"=1407491423",X77:X85),2)</f>
        <v>5185.58</v>
      </c>
      <c r="AL87" s="2">
        <f>ROUND(SUMIF(AA77:AA85,"=1407491423",Y77:Y85),2)</f>
        <v>740.8</v>
      </c>
      <c r="AM87" s="2"/>
      <c r="AN87" s="2"/>
      <c r="AO87" s="2">
        <f t="shared" ref="AO87:BD87" si="99">ROUND(BX87,2)</f>
        <v>0</v>
      </c>
      <c r="AP87" s="2">
        <f t="shared" si="99"/>
        <v>0</v>
      </c>
      <c r="AQ87" s="2">
        <f t="shared" si="99"/>
        <v>0</v>
      </c>
      <c r="AR87" s="2">
        <f t="shared" si="99"/>
        <v>13467.13</v>
      </c>
      <c r="AS87" s="2">
        <f t="shared" si="99"/>
        <v>0</v>
      </c>
      <c r="AT87" s="2">
        <f t="shared" si="99"/>
        <v>0</v>
      </c>
      <c r="AU87" s="2">
        <f t="shared" si="99"/>
        <v>13467.13</v>
      </c>
      <c r="AV87" s="2">
        <f t="shared" si="99"/>
        <v>132.78</v>
      </c>
      <c r="AW87" s="2">
        <f t="shared" si="99"/>
        <v>132.78</v>
      </c>
      <c r="AX87" s="2">
        <f t="shared" si="99"/>
        <v>0</v>
      </c>
      <c r="AY87" s="2">
        <f t="shared" si="99"/>
        <v>132.78</v>
      </c>
      <c r="AZ87" s="2">
        <f t="shared" si="99"/>
        <v>0</v>
      </c>
      <c r="BA87" s="2">
        <f t="shared" si="99"/>
        <v>0</v>
      </c>
      <c r="BB87" s="2">
        <f t="shared" si="99"/>
        <v>0</v>
      </c>
      <c r="BC87" s="2">
        <f t="shared" si="99"/>
        <v>0</v>
      </c>
      <c r="BD87" s="2">
        <f t="shared" si="99"/>
        <v>0</v>
      </c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>
        <f>ROUND(SUMIF(AA77:AA85,"=1407491423",FQ77:FQ85),2)</f>
        <v>0</v>
      </c>
      <c r="BY87" s="2">
        <f>ROUND(SUMIF(AA77:AA85,"=1407491423",FR77:FR85),2)</f>
        <v>0</v>
      </c>
      <c r="BZ87" s="2">
        <f>ROUND(SUMIF(AA77:AA85,"=1407491423",GL77:GL85),2)</f>
        <v>0</v>
      </c>
      <c r="CA87" s="2">
        <f>ROUND(SUMIF(AA77:AA85,"=1407491423",GM77:GM85),2)</f>
        <v>13467.13</v>
      </c>
      <c r="CB87" s="2">
        <f>ROUND(SUMIF(AA77:AA85,"=1407491423",GN77:GN85),2)</f>
        <v>0</v>
      </c>
      <c r="CC87" s="2">
        <f>ROUND(SUMIF(AA77:AA85,"=1407491423",GO77:GO85),2)</f>
        <v>0</v>
      </c>
      <c r="CD87" s="2">
        <f>ROUND(SUMIF(AA77:AA85,"=1407491423",GP77:GP85),2)</f>
        <v>13467.13</v>
      </c>
      <c r="CE87" s="2">
        <f>AC87-BX87</f>
        <v>132.78</v>
      </c>
      <c r="CF87" s="2">
        <f>AC87-BY87</f>
        <v>132.78</v>
      </c>
      <c r="CG87" s="2">
        <f>BX87-BZ87</f>
        <v>0</v>
      </c>
      <c r="CH87" s="2">
        <f>AC87-BX87-BY87+BZ87</f>
        <v>132.78</v>
      </c>
      <c r="CI87" s="2">
        <f>BY87-BZ87</f>
        <v>0</v>
      </c>
      <c r="CJ87" s="2">
        <f>ROUND(SUMIF(AA77:AA85,"=1407491423",GX77:GX85),2)</f>
        <v>0</v>
      </c>
      <c r="CK87" s="2">
        <f>ROUND(SUMIF(AA77:AA85,"=1407491423",GY77:GY85),2)</f>
        <v>0</v>
      </c>
      <c r="CL87" s="2">
        <f>ROUND(SUMIF(AA77:AA85,"=1407491423",GZ77:GZ85),2)</f>
        <v>0</v>
      </c>
      <c r="CM87" s="2">
        <f>ROUND(SUMIF(AA77:AA85,"=1407491423",HD77:HD85),2)</f>
        <v>0</v>
      </c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>
        <v>0</v>
      </c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201</v>
      </c>
      <c r="F89" s="4">
        <f>ROUND(Source!O87,O89)</f>
        <v>7540.75</v>
      </c>
      <c r="G89" s="4" t="s">
        <v>74</v>
      </c>
      <c r="H89" s="4" t="s">
        <v>75</v>
      </c>
      <c r="I89" s="4"/>
      <c r="J89" s="4"/>
      <c r="K89" s="4">
        <v>201</v>
      </c>
      <c r="L89" s="4">
        <v>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7540.75</v>
      </c>
      <c r="X89" s="4">
        <v>1</v>
      </c>
      <c r="Y89" s="4">
        <v>7540.75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202</v>
      </c>
      <c r="F90" s="4">
        <f>ROUND(Source!P87,O90)</f>
        <v>132.78</v>
      </c>
      <c r="G90" s="4" t="s">
        <v>76</v>
      </c>
      <c r="H90" s="4" t="s">
        <v>77</v>
      </c>
      <c r="I90" s="4"/>
      <c r="J90" s="4"/>
      <c r="K90" s="4">
        <v>202</v>
      </c>
      <c r="L90" s="4">
        <v>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132.78</v>
      </c>
      <c r="X90" s="4">
        <v>1</v>
      </c>
      <c r="Y90" s="4">
        <v>132.78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222</v>
      </c>
      <c r="F91" s="4">
        <f>ROUND(Source!AO87,O91)</f>
        <v>0</v>
      </c>
      <c r="G91" s="4" t="s">
        <v>78</v>
      </c>
      <c r="H91" s="4" t="s">
        <v>79</v>
      </c>
      <c r="I91" s="4"/>
      <c r="J91" s="4"/>
      <c r="K91" s="4">
        <v>222</v>
      </c>
      <c r="L91" s="4">
        <v>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225</v>
      </c>
      <c r="F92" s="4">
        <f>ROUND(Source!AV87,O92)</f>
        <v>132.78</v>
      </c>
      <c r="G92" s="4" t="s">
        <v>80</v>
      </c>
      <c r="H92" s="4" t="s">
        <v>81</v>
      </c>
      <c r="I92" s="4"/>
      <c r="J92" s="4"/>
      <c r="K92" s="4">
        <v>225</v>
      </c>
      <c r="L92" s="4">
        <v>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132.78</v>
      </c>
      <c r="X92" s="4">
        <v>1</v>
      </c>
      <c r="Y92" s="4">
        <v>132.78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226</v>
      </c>
      <c r="F93" s="4">
        <f>ROUND(Source!AW87,O93)</f>
        <v>132.78</v>
      </c>
      <c r="G93" s="4" t="s">
        <v>82</v>
      </c>
      <c r="H93" s="4" t="s">
        <v>83</v>
      </c>
      <c r="I93" s="4"/>
      <c r="J93" s="4"/>
      <c r="K93" s="4">
        <v>226</v>
      </c>
      <c r="L93" s="4">
        <v>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132.78</v>
      </c>
      <c r="X93" s="4">
        <v>1</v>
      </c>
      <c r="Y93" s="4">
        <v>132.78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227</v>
      </c>
      <c r="F94" s="4">
        <f>ROUND(Source!AX87,O94)</f>
        <v>0</v>
      </c>
      <c r="G94" s="4" t="s">
        <v>84</v>
      </c>
      <c r="H94" s="4" t="s">
        <v>85</v>
      </c>
      <c r="I94" s="4"/>
      <c r="J94" s="4"/>
      <c r="K94" s="4">
        <v>227</v>
      </c>
      <c r="L94" s="4">
        <v>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228</v>
      </c>
      <c r="F95" s="4">
        <f>ROUND(Source!AY87,O95)</f>
        <v>132.78</v>
      </c>
      <c r="G95" s="4" t="s">
        <v>86</v>
      </c>
      <c r="H95" s="4" t="s">
        <v>87</v>
      </c>
      <c r="I95" s="4"/>
      <c r="J95" s="4"/>
      <c r="K95" s="4">
        <v>228</v>
      </c>
      <c r="L95" s="4">
        <v>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132.78</v>
      </c>
      <c r="X95" s="4">
        <v>1</v>
      </c>
      <c r="Y95" s="4">
        <v>132.78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216</v>
      </c>
      <c r="F96" s="4">
        <f>ROUND(Source!AP87,O96)</f>
        <v>0</v>
      </c>
      <c r="G96" s="4" t="s">
        <v>88</v>
      </c>
      <c r="H96" s="4" t="s">
        <v>89</v>
      </c>
      <c r="I96" s="4"/>
      <c r="J96" s="4"/>
      <c r="K96" s="4">
        <v>216</v>
      </c>
      <c r="L96" s="4">
        <v>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223</v>
      </c>
      <c r="F97" s="4">
        <f>ROUND(Source!AQ87,O97)</f>
        <v>0</v>
      </c>
      <c r="G97" s="4" t="s">
        <v>90</v>
      </c>
      <c r="H97" s="4" t="s">
        <v>91</v>
      </c>
      <c r="I97" s="4"/>
      <c r="J97" s="4"/>
      <c r="K97" s="4">
        <v>223</v>
      </c>
      <c r="L97" s="4">
        <v>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229</v>
      </c>
      <c r="F98" s="4">
        <f>ROUND(Source!AZ87,O98)</f>
        <v>0</v>
      </c>
      <c r="G98" s="4" t="s">
        <v>92</v>
      </c>
      <c r="H98" s="4" t="s">
        <v>93</v>
      </c>
      <c r="I98" s="4"/>
      <c r="J98" s="4"/>
      <c r="K98" s="4">
        <v>229</v>
      </c>
      <c r="L98" s="4">
        <v>10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203</v>
      </c>
      <c r="F99" s="4">
        <f>ROUND(Source!Q87,O99)</f>
        <v>0</v>
      </c>
      <c r="G99" s="4" t="s">
        <v>94</v>
      </c>
      <c r="H99" s="4" t="s">
        <v>95</v>
      </c>
      <c r="I99" s="4"/>
      <c r="J99" s="4"/>
      <c r="K99" s="4">
        <v>203</v>
      </c>
      <c r="L99" s="4">
        <v>11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231</v>
      </c>
      <c r="F100" s="4">
        <f>ROUND(Source!BB87,O100)</f>
        <v>0</v>
      </c>
      <c r="G100" s="4" t="s">
        <v>96</v>
      </c>
      <c r="H100" s="4" t="s">
        <v>97</v>
      </c>
      <c r="I100" s="4"/>
      <c r="J100" s="4"/>
      <c r="K100" s="4">
        <v>231</v>
      </c>
      <c r="L100" s="4">
        <v>12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204</v>
      </c>
      <c r="F101" s="4">
        <f>ROUND(Source!R87,O101)</f>
        <v>0</v>
      </c>
      <c r="G101" s="4" t="s">
        <v>98</v>
      </c>
      <c r="H101" s="4" t="s">
        <v>99</v>
      </c>
      <c r="I101" s="4"/>
      <c r="J101" s="4"/>
      <c r="K101" s="4">
        <v>204</v>
      </c>
      <c r="L101" s="4">
        <v>13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205</v>
      </c>
      <c r="F102" s="4">
        <f>ROUND(Source!S87,O102)</f>
        <v>7407.97</v>
      </c>
      <c r="G102" s="4" t="s">
        <v>100</v>
      </c>
      <c r="H102" s="4" t="s">
        <v>101</v>
      </c>
      <c r="I102" s="4"/>
      <c r="J102" s="4"/>
      <c r="K102" s="4">
        <v>205</v>
      </c>
      <c r="L102" s="4">
        <v>14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7407.97</v>
      </c>
      <c r="X102" s="4">
        <v>1</v>
      </c>
      <c r="Y102" s="4">
        <v>7407.97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232</v>
      </c>
      <c r="F103" s="4">
        <f>ROUND(Source!BC87,O103)</f>
        <v>0</v>
      </c>
      <c r="G103" s="4" t="s">
        <v>102</v>
      </c>
      <c r="H103" s="4" t="s">
        <v>103</v>
      </c>
      <c r="I103" s="4"/>
      <c r="J103" s="4"/>
      <c r="K103" s="4">
        <v>232</v>
      </c>
      <c r="L103" s="4">
        <v>15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214</v>
      </c>
      <c r="F104" s="4">
        <f>ROUND(Source!AS87,O104)</f>
        <v>0</v>
      </c>
      <c r="G104" s="4" t="s">
        <v>104</v>
      </c>
      <c r="H104" s="4" t="s">
        <v>105</v>
      </c>
      <c r="I104" s="4"/>
      <c r="J104" s="4"/>
      <c r="K104" s="4">
        <v>214</v>
      </c>
      <c r="L104" s="4">
        <v>16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215</v>
      </c>
      <c r="F105" s="4">
        <f>ROUND(Source!AT87,O105)</f>
        <v>0</v>
      </c>
      <c r="G105" s="4" t="s">
        <v>106</v>
      </c>
      <c r="H105" s="4" t="s">
        <v>107</v>
      </c>
      <c r="I105" s="4"/>
      <c r="J105" s="4"/>
      <c r="K105" s="4">
        <v>215</v>
      </c>
      <c r="L105" s="4">
        <v>17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217</v>
      </c>
      <c r="F106" s="4">
        <f>ROUND(Source!AU87,O106)</f>
        <v>13467.13</v>
      </c>
      <c r="G106" s="4" t="s">
        <v>108</v>
      </c>
      <c r="H106" s="4" t="s">
        <v>109</v>
      </c>
      <c r="I106" s="4"/>
      <c r="J106" s="4"/>
      <c r="K106" s="4">
        <v>217</v>
      </c>
      <c r="L106" s="4">
        <v>18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13467.13</v>
      </c>
      <c r="X106" s="4">
        <v>1</v>
      </c>
      <c r="Y106" s="4">
        <v>13467.13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230</v>
      </c>
      <c r="F107" s="4">
        <f>ROUND(Source!BA87,O107)</f>
        <v>0</v>
      </c>
      <c r="G107" s="4" t="s">
        <v>110</v>
      </c>
      <c r="H107" s="4" t="s">
        <v>111</v>
      </c>
      <c r="I107" s="4"/>
      <c r="J107" s="4"/>
      <c r="K107" s="4">
        <v>230</v>
      </c>
      <c r="L107" s="4">
        <v>19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206</v>
      </c>
      <c r="F108" s="4">
        <f>ROUND(Source!T87,O108)</f>
        <v>0</v>
      </c>
      <c r="G108" s="4" t="s">
        <v>112</v>
      </c>
      <c r="H108" s="4" t="s">
        <v>113</v>
      </c>
      <c r="I108" s="4"/>
      <c r="J108" s="4"/>
      <c r="K108" s="4">
        <v>206</v>
      </c>
      <c r="L108" s="4">
        <v>20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207</v>
      </c>
      <c r="F109" s="4">
        <f>Source!U87</f>
        <v>15.53398</v>
      </c>
      <c r="G109" s="4" t="s">
        <v>114</v>
      </c>
      <c r="H109" s="4" t="s">
        <v>115</v>
      </c>
      <c r="I109" s="4"/>
      <c r="J109" s="4"/>
      <c r="K109" s="4">
        <v>207</v>
      </c>
      <c r="L109" s="4">
        <v>21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>
        <v>15.53398</v>
      </c>
      <c r="X109" s="4">
        <v>1</v>
      </c>
      <c r="Y109" s="4">
        <v>15.53398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208</v>
      </c>
      <c r="F110" s="4">
        <f>Source!V87</f>
        <v>0</v>
      </c>
      <c r="G110" s="4" t="s">
        <v>116</v>
      </c>
      <c r="H110" s="4" t="s">
        <v>117</v>
      </c>
      <c r="I110" s="4"/>
      <c r="J110" s="4"/>
      <c r="K110" s="4">
        <v>208</v>
      </c>
      <c r="L110" s="4">
        <v>22</v>
      </c>
      <c r="M110" s="4">
        <v>3</v>
      </c>
      <c r="N110" s="4" t="s">
        <v>3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209</v>
      </c>
      <c r="F111" s="4">
        <f>ROUND(Source!W87,O111)</f>
        <v>0</v>
      </c>
      <c r="G111" s="4" t="s">
        <v>118</v>
      </c>
      <c r="H111" s="4" t="s">
        <v>119</v>
      </c>
      <c r="I111" s="4"/>
      <c r="J111" s="4"/>
      <c r="K111" s="4">
        <v>209</v>
      </c>
      <c r="L111" s="4">
        <v>23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233</v>
      </c>
      <c r="F112" s="4">
        <f>ROUND(Source!BD87,O112)</f>
        <v>0</v>
      </c>
      <c r="G112" s="4" t="s">
        <v>120</v>
      </c>
      <c r="H112" s="4" t="s">
        <v>121</v>
      </c>
      <c r="I112" s="4"/>
      <c r="J112" s="4"/>
      <c r="K112" s="4">
        <v>233</v>
      </c>
      <c r="L112" s="4">
        <v>24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210</v>
      </c>
      <c r="F113" s="4">
        <f>ROUND(Source!X87,O113)</f>
        <v>5185.58</v>
      </c>
      <c r="G113" s="4" t="s">
        <v>122</v>
      </c>
      <c r="H113" s="4" t="s">
        <v>123</v>
      </c>
      <c r="I113" s="4"/>
      <c r="J113" s="4"/>
      <c r="K113" s="4">
        <v>210</v>
      </c>
      <c r="L113" s="4">
        <v>25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5185.58</v>
      </c>
      <c r="X113" s="4">
        <v>1</v>
      </c>
      <c r="Y113" s="4">
        <v>5185.58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211</v>
      </c>
      <c r="F114" s="4">
        <f>ROUND(Source!Y87,O114)</f>
        <v>740.8</v>
      </c>
      <c r="G114" s="4" t="s">
        <v>124</v>
      </c>
      <c r="H114" s="4" t="s">
        <v>125</v>
      </c>
      <c r="I114" s="4"/>
      <c r="J114" s="4"/>
      <c r="K114" s="4">
        <v>211</v>
      </c>
      <c r="L114" s="4">
        <v>26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740.8</v>
      </c>
      <c r="X114" s="4">
        <v>1</v>
      </c>
      <c r="Y114" s="4">
        <v>740.8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224</v>
      </c>
      <c r="F115" s="4">
        <f>ROUND(Source!AR87,O115)</f>
        <v>13467.13</v>
      </c>
      <c r="G115" s="4" t="s">
        <v>126</v>
      </c>
      <c r="H115" s="4" t="s">
        <v>127</v>
      </c>
      <c r="I115" s="4"/>
      <c r="J115" s="4"/>
      <c r="K115" s="4">
        <v>224</v>
      </c>
      <c r="L115" s="4">
        <v>27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13467.13</v>
      </c>
      <c r="X115" s="4">
        <v>1</v>
      </c>
      <c r="Y115" s="4">
        <v>13467.13</v>
      </c>
      <c r="Z115" s="4"/>
      <c r="AA115" s="4"/>
      <c r="AB115" s="4"/>
    </row>
    <row r="117" spans="1:245" x14ac:dyDescent="0.2">
      <c r="A117" s="1">
        <v>4</v>
      </c>
      <c r="B117" s="1">
        <v>1</v>
      </c>
      <c r="C117" s="1"/>
      <c r="D117" s="1">
        <f>ROW(A136)</f>
        <v>136</v>
      </c>
      <c r="E117" s="1"/>
      <c r="F117" s="1" t="s">
        <v>13</v>
      </c>
      <c r="G117" s="1" t="s">
        <v>151</v>
      </c>
      <c r="H117" s="1" t="s">
        <v>3</v>
      </c>
      <c r="I117" s="1">
        <v>0</v>
      </c>
      <c r="J117" s="1"/>
      <c r="K117" s="1">
        <v>0</v>
      </c>
      <c r="L117" s="1"/>
      <c r="M117" s="1" t="s">
        <v>3</v>
      </c>
      <c r="N117" s="1"/>
      <c r="O117" s="1"/>
      <c r="P117" s="1"/>
      <c r="Q117" s="1"/>
      <c r="R117" s="1"/>
      <c r="S117" s="1">
        <v>0</v>
      </c>
      <c r="T117" s="1"/>
      <c r="U117" s="1" t="s">
        <v>3</v>
      </c>
      <c r="V117" s="1">
        <v>0</v>
      </c>
      <c r="W117" s="1"/>
      <c r="X117" s="1"/>
      <c r="Y117" s="1"/>
      <c r="Z117" s="1"/>
      <c r="AA117" s="1"/>
      <c r="AB117" s="1" t="s">
        <v>3</v>
      </c>
      <c r="AC117" s="1" t="s">
        <v>3</v>
      </c>
      <c r="AD117" s="1" t="s">
        <v>3</v>
      </c>
      <c r="AE117" s="1" t="s">
        <v>3</v>
      </c>
      <c r="AF117" s="1" t="s">
        <v>3</v>
      </c>
      <c r="AG117" s="1" t="s">
        <v>3</v>
      </c>
      <c r="AH117" s="1"/>
      <c r="AI117" s="1"/>
      <c r="AJ117" s="1"/>
      <c r="AK117" s="1"/>
      <c r="AL117" s="1"/>
      <c r="AM117" s="1"/>
      <c r="AN117" s="1"/>
      <c r="AO117" s="1"/>
      <c r="AP117" s="1" t="s">
        <v>3</v>
      </c>
      <c r="AQ117" s="1" t="s">
        <v>3</v>
      </c>
      <c r="AR117" s="1" t="s">
        <v>3</v>
      </c>
      <c r="AS117" s="1"/>
      <c r="AT117" s="1"/>
      <c r="AU117" s="1"/>
      <c r="AV117" s="1"/>
      <c r="AW117" s="1"/>
      <c r="AX117" s="1"/>
      <c r="AY117" s="1"/>
      <c r="AZ117" s="1" t="s">
        <v>3</v>
      </c>
      <c r="BA117" s="1"/>
      <c r="BB117" s="1" t="s">
        <v>3</v>
      </c>
      <c r="BC117" s="1" t="s">
        <v>3</v>
      </c>
      <c r="BD117" s="1" t="s">
        <v>3</v>
      </c>
      <c r="BE117" s="1" t="s">
        <v>3</v>
      </c>
      <c r="BF117" s="1" t="s">
        <v>3</v>
      </c>
      <c r="BG117" s="1" t="s">
        <v>3</v>
      </c>
      <c r="BH117" s="1" t="s">
        <v>3</v>
      </c>
      <c r="BI117" s="1" t="s">
        <v>3</v>
      </c>
      <c r="BJ117" s="1" t="s">
        <v>3</v>
      </c>
      <c r="BK117" s="1" t="s">
        <v>3</v>
      </c>
      <c r="BL117" s="1" t="s">
        <v>3</v>
      </c>
      <c r="BM117" s="1" t="s">
        <v>3</v>
      </c>
      <c r="BN117" s="1" t="s">
        <v>3</v>
      </c>
      <c r="BO117" s="1" t="s">
        <v>3</v>
      </c>
      <c r="BP117" s="1" t="s">
        <v>3</v>
      </c>
      <c r="BQ117" s="1"/>
      <c r="BR117" s="1"/>
      <c r="BS117" s="1"/>
      <c r="BT117" s="1"/>
      <c r="BU117" s="1"/>
      <c r="BV117" s="1"/>
      <c r="BW117" s="1"/>
      <c r="BX117" s="1">
        <v>0</v>
      </c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>
        <v>0</v>
      </c>
    </row>
    <row r="119" spans="1:245" x14ac:dyDescent="0.2">
      <c r="A119" s="2">
        <v>52</v>
      </c>
      <c r="B119" s="2">
        <f t="shared" ref="B119:G119" si="100">B136</f>
        <v>1</v>
      </c>
      <c r="C119" s="2">
        <f t="shared" si="100"/>
        <v>4</v>
      </c>
      <c r="D119" s="2">
        <f t="shared" si="100"/>
        <v>117</v>
      </c>
      <c r="E119" s="2">
        <f t="shared" si="100"/>
        <v>0</v>
      </c>
      <c r="F119" s="2" t="str">
        <f t="shared" si="100"/>
        <v>Новый раздел</v>
      </c>
      <c r="G119" s="2" t="str">
        <f t="shared" si="100"/>
        <v>Система водоотведения</v>
      </c>
      <c r="H119" s="2"/>
      <c r="I119" s="2"/>
      <c r="J119" s="2"/>
      <c r="K119" s="2"/>
      <c r="L119" s="2"/>
      <c r="M119" s="2"/>
      <c r="N119" s="2"/>
      <c r="O119" s="2">
        <f t="shared" ref="O119:AT119" si="101">O136</f>
        <v>43197.7</v>
      </c>
      <c r="P119" s="2">
        <f t="shared" si="101"/>
        <v>500.86</v>
      </c>
      <c r="Q119" s="2">
        <f t="shared" si="101"/>
        <v>12.08</v>
      </c>
      <c r="R119" s="2">
        <f t="shared" si="101"/>
        <v>0.02</v>
      </c>
      <c r="S119" s="2">
        <f t="shared" si="101"/>
        <v>42684.76</v>
      </c>
      <c r="T119" s="2">
        <f t="shared" si="101"/>
        <v>0</v>
      </c>
      <c r="U119" s="2">
        <f t="shared" si="101"/>
        <v>88.227679999999992</v>
      </c>
      <c r="V119" s="2">
        <f t="shared" si="101"/>
        <v>0</v>
      </c>
      <c r="W119" s="2">
        <f t="shared" si="101"/>
        <v>0</v>
      </c>
      <c r="X119" s="2">
        <f t="shared" si="101"/>
        <v>29879.34</v>
      </c>
      <c r="Y119" s="2">
        <f t="shared" si="101"/>
        <v>4268.4799999999996</v>
      </c>
      <c r="Z119" s="2">
        <f t="shared" si="101"/>
        <v>0</v>
      </c>
      <c r="AA119" s="2">
        <f t="shared" si="101"/>
        <v>0</v>
      </c>
      <c r="AB119" s="2">
        <f t="shared" si="101"/>
        <v>43197.7</v>
      </c>
      <c r="AC119" s="2">
        <f t="shared" si="101"/>
        <v>500.86</v>
      </c>
      <c r="AD119" s="2">
        <f t="shared" si="101"/>
        <v>12.08</v>
      </c>
      <c r="AE119" s="2">
        <f t="shared" si="101"/>
        <v>0.02</v>
      </c>
      <c r="AF119" s="2">
        <f t="shared" si="101"/>
        <v>42684.76</v>
      </c>
      <c r="AG119" s="2">
        <f t="shared" si="101"/>
        <v>0</v>
      </c>
      <c r="AH119" s="2">
        <f t="shared" si="101"/>
        <v>88.227679999999992</v>
      </c>
      <c r="AI119" s="2">
        <f t="shared" si="101"/>
        <v>0</v>
      </c>
      <c r="AJ119" s="2">
        <f t="shared" si="101"/>
        <v>0</v>
      </c>
      <c r="AK119" s="2">
        <f t="shared" si="101"/>
        <v>29879.34</v>
      </c>
      <c r="AL119" s="2">
        <f t="shared" si="101"/>
        <v>4268.4799999999996</v>
      </c>
      <c r="AM119" s="2">
        <f t="shared" si="101"/>
        <v>0</v>
      </c>
      <c r="AN119" s="2">
        <f t="shared" si="101"/>
        <v>0</v>
      </c>
      <c r="AO119" s="2">
        <f t="shared" si="101"/>
        <v>0</v>
      </c>
      <c r="AP119" s="2">
        <f t="shared" si="101"/>
        <v>0</v>
      </c>
      <c r="AQ119" s="2">
        <f t="shared" si="101"/>
        <v>0</v>
      </c>
      <c r="AR119" s="2">
        <f t="shared" si="101"/>
        <v>77345.539999999994</v>
      </c>
      <c r="AS119" s="2">
        <f t="shared" si="101"/>
        <v>0</v>
      </c>
      <c r="AT119" s="2">
        <f t="shared" si="101"/>
        <v>0</v>
      </c>
      <c r="AU119" s="2">
        <f t="shared" ref="AU119:BZ119" si="102">AU136</f>
        <v>77345.539999999994</v>
      </c>
      <c r="AV119" s="2">
        <f t="shared" si="102"/>
        <v>500.86</v>
      </c>
      <c r="AW119" s="2">
        <f t="shared" si="102"/>
        <v>500.86</v>
      </c>
      <c r="AX119" s="2">
        <f t="shared" si="102"/>
        <v>0</v>
      </c>
      <c r="AY119" s="2">
        <f t="shared" si="102"/>
        <v>500.86</v>
      </c>
      <c r="AZ119" s="2">
        <f t="shared" si="102"/>
        <v>0</v>
      </c>
      <c r="BA119" s="2">
        <f t="shared" si="102"/>
        <v>0</v>
      </c>
      <c r="BB119" s="2">
        <f t="shared" si="102"/>
        <v>0</v>
      </c>
      <c r="BC119" s="2">
        <f t="shared" si="102"/>
        <v>0</v>
      </c>
      <c r="BD119" s="2">
        <f t="shared" si="102"/>
        <v>0</v>
      </c>
      <c r="BE119" s="2">
        <f t="shared" si="102"/>
        <v>0</v>
      </c>
      <c r="BF119" s="2">
        <f t="shared" si="102"/>
        <v>0</v>
      </c>
      <c r="BG119" s="2">
        <f t="shared" si="102"/>
        <v>0</v>
      </c>
      <c r="BH119" s="2">
        <f t="shared" si="102"/>
        <v>0</v>
      </c>
      <c r="BI119" s="2">
        <f t="shared" si="102"/>
        <v>0</v>
      </c>
      <c r="BJ119" s="2">
        <f t="shared" si="102"/>
        <v>0</v>
      </c>
      <c r="BK119" s="2">
        <f t="shared" si="102"/>
        <v>0</v>
      </c>
      <c r="BL119" s="2">
        <f t="shared" si="102"/>
        <v>0</v>
      </c>
      <c r="BM119" s="2">
        <f t="shared" si="102"/>
        <v>0</v>
      </c>
      <c r="BN119" s="2">
        <f t="shared" si="102"/>
        <v>0</v>
      </c>
      <c r="BO119" s="2">
        <f t="shared" si="102"/>
        <v>0</v>
      </c>
      <c r="BP119" s="2">
        <f t="shared" si="102"/>
        <v>0</v>
      </c>
      <c r="BQ119" s="2">
        <f t="shared" si="102"/>
        <v>0</v>
      </c>
      <c r="BR119" s="2">
        <f t="shared" si="102"/>
        <v>0</v>
      </c>
      <c r="BS119" s="2">
        <f t="shared" si="102"/>
        <v>0</v>
      </c>
      <c r="BT119" s="2">
        <f t="shared" si="102"/>
        <v>0</v>
      </c>
      <c r="BU119" s="2">
        <f t="shared" si="102"/>
        <v>0</v>
      </c>
      <c r="BV119" s="2">
        <f t="shared" si="102"/>
        <v>0</v>
      </c>
      <c r="BW119" s="2">
        <f t="shared" si="102"/>
        <v>0</v>
      </c>
      <c r="BX119" s="2">
        <f t="shared" si="102"/>
        <v>0</v>
      </c>
      <c r="BY119" s="2">
        <f t="shared" si="102"/>
        <v>0</v>
      </c>
      <c r="BZ119" s="2">
        <f t="shared" si="102"/>
        <v>0</v>
      </c>
      <c r="CA119" s="2">
        <f t="shared" ref="CA119:DF119" si="103">CA136</f>
        <v>77345.539999999994</v>
      </c>
      <c r="CB119" s="2">
        <f t="shared" si="103"/>
        <v>0</v>
      </c>
      <c r="CC119" s="2">
        <f t="shared" si="103"/>
        <v>0</v>
      </c>
      <c r="CD119" s="2">
        <f t="shared" si="103"/>
        <v>77345.539999999994</v>
      </c>
      <c r="CE119" s="2">
        <f t="shared" si="103"/>
        <v>500.86</v>
      </c>
      <c r="CF119" s="2">
        <f t="shared" si="103"/>
        <v>500.86</v>
      </c>
      <c r="CG119" s="2">
        <f t="shared" si="103"/>
        <v>0</v>
      </c>
      <c r="CH119" s="2">
        <f t="shared" si="103"/>
        <v>500.86</v>
      </c>
      <c r="CI119" s="2">
        <f t="shared" si="103"/>
        <v>0</v>
      </c>
      <c r="CJ119" s="2">
        <f t="shared" si="103"/>
        <v>0</v>
      </c>
      <c r="CK119" s="2">
        <f t="shared" si="103"/>
        <v>0</v>
      </c>
      <c r="CL119" s="2">
        <f t="shared" si="103"/>
        <v>0</v>
      </c>
      <c r="CM119" s="2">
        <f t="shared" si="103"/>
        <v>0</v>
      </c>
      <c r="CN119" s="2">
        <f t="shared" si="103"/>
        <v>0</v>
      </c>
      <c r="CO119" s="2">
        <f t="shared" si="103"/>
        <v>0</v>
      </c>
      <c r="CP119" s="2">
        <f t="shared" si="103"/>
        <v>0</v>
      </c>
      <c r="CQ119" s="2">
        <f t="shared" si="103"/>
        <v>0</v>
      </c>
      <c r="CR119" s="2">
        <f t="shared" si="103"/>
        <v>0</v>
      </c>
      <c r="CS119" s="2">
        <f t="shared" si="103"/>
        <v>0</v>
      </c>
      <c r="CT119" s="2">
        <f t="shared" si="103"/>
        <v>0</v>
      </c>
      <c r="CU119" s="2">
        <f t="shared" si="103"/>
        <v>0</v>
      </c>
      <c r="CV119" s="2">
        <f t="shared" si="103"/>
        <v>0</v>
      </c>
      <c r="CW119" s="2">
        <f t="shared" si="103"/>
        <v>0</v>
      </c>
      <c r="CX119" s="2">
        <f t="shared" si="103"/>
        <v>0</v>
      </c>
      <c r="CY119" s="2">
        <f t="shared" si="103"/>
        <v>0</v>
      </c>
      <c r="CZ119" s="2">
        <f t="shared" si="103"/>
        <v>0</v>
      </c>
      <c r="DA119" s="2">
        <f t="shared" si="103"/>
        <v>0</v>
      </c>
      <c r="DB119" s="2">
        <f t="shared" si="103"/>
        <v>0</v>
      </c>
      <c r="DC119" s="2">
        <f t="shared" si="103"/>
        <v>0</v>
      </c>
      <c r="DD119" s="2">
        <f t="shared" si="103"/>
        <v>0</v>
      </c>
      <c r="DE119" s="2">
        <f t="shared" si="103"/>
        <v>0</v>
      </c>
      <c r="DF119" s="2">
        <f t="shared" si="103"/>
        <v>0</v>
      </c>
      <c r="DG119" s="3">
        <f t="shared" ref="DG119:EL119" si="104">DG136</f>
        <v>0</v>
      </c>
      <c r="DH119" s="3">
        <f t="shared" si="104"/>
        <v>0</v>
      </c>
      <c r="DI119" s="3">
        <f t="shared" si="104"/>
        <v>0</v>
      </c>
      <c r="DJ119" s="3">
        <f t="shared" si="104"/>
        <v>0</v>
      </c>
      <c r="DK119" s="3">
        <f t="shared" si="104"/>
        <v>0</v>
      </c>
      <c r="DL119" s="3">
        <f t="shared" si="104"/>
        <v>0</v>
      </c>
      <c r="DM119" s="3">
        <f t="shared" si="104"/>
        <v>0</v>
      </c>
      <c r="DN119" s="3">
        <f t="shared" si="104"/>
        <v>0</v>
      </c>
      <c r="DO119" s="3">
        <f t="shared" si="104"/>
        <v>0</v>
      </c>
      <c r="DP119" s="3">
        <f t="shared" si="104"/>
        <v>0</v>
      </c>
      <c r="DQ119" s="3">
        <f t="shared" si="104"/>
        <v>0</v>
      </c>
      <c r="DR119" s="3">
        <f t="shared" si="104"/>
        <v>0</v>
      </c>
      <c r="DS119" s="3">
        <f t="shared" si="104"/>
        <v>0</v>
      </c>
      <c r="DT119" s="3">
        <f t="shared" si="104"/>
        <v>0</v>
      </c>
      <c r="DU119" s="3">
        <f t="shared" si="104"/>
        <v>0</v>
      </c>
      <c r="DV119" s="3">
        <f t="shared" si="104"/>
        <v>0</v>
      </c>
      <c r="DW119" s="3">
        <f t="shared" si="104"/>
        <v>0</v>
      </c>
      <c r="DX119" s="3">
        <f t="shared" si="104"/>
        <v>0</v>
      </c>
      <c r="DY119" s="3">
        <f t="shared" si="104"/>
        <v>0</v>
      </c>
      <c r="DZ119" s="3">
        <f t="shared" si="104"/>
        <v>0</v>
      </c>
      <c r="EA119" s="3">
        <f t="shared" si="104"/>
        <v>0</v>
      </c>
      <c r="EB119" s="3">
        <f t="shared" si="104"/>
        <v>0</v>
      </c>
      <c r="EC119" s="3">
        <f t="shared" si="104"/>
        <v>0</v>
      </c>
      <c r="ED119" s="3">
        <f t="shared" si="104"/>
        <v>0</v>
      </c>
      <c r="EE119" s="3">
        <f t="shared" si="104"/>
        <v>0</v>
      </c>
      <c r="EF119" s="3">
        <f t="shared" si="104"/>
        <v>0</v>
      </c>
      <c r="EG119" s="3">
        <f t="shared" si="104"/>
        <v>0</v>
      </c>
      <c r="EH119" s="3">
        <f t="shared" si="104"/>
        <v>0</v>
      </c>
      <c r="EI119" s="3">
        <f t="shared" si="104"/>
        <v>0</v>
      </c>
      <c r="EJ119" s="3">
        <f t="shared" si="104"/>
        <v>0</v>
      </c>
      <c r="EK119" s="3">
        <f t="shared" si="104"/>
        <v>0</v>
      </c>
      <c r="EL119" s="3">
        <f t="shared" si="104"/>
        <v>0</v>
      </c>
      <c r="EM119" s="3">
        <f t="shared" ref="EM119:FR119" si="105">EM136</f>
        <v>0</v>
      </c>
      <c r="EN119" s="3">
        <f t="shared" si="105"/>
        <v>0</v>
      </c>
      <c r="EO119" s="3">
        <f t="shared" si="105"/>
        <v>0</v>
      </c>
      <c r="EP119" s="3">
        <f t="shared" si="105"/>
        <v>0</v>
      </c>
      <c r="EQ119" s="3">
        <f t="shared" si="105"/>
        <v>0</v>
      </c>
      <c r="ER119" s="3">
        <f t="shared" si="105"/>
        <v>0</v>
      </c>
      <c r="ES119" s="3">
        <f t="shared" si="105"/>
        <v>0</v>
      </c>
      <c r="ET119" s="3">
        <f t="shared" si="105"/>
        <v>0</v>
      </c>
      <c r="EU119" s="3">
        <f t="shared" si="105"/>
        <v>0</v>
      </c>
      <c r="EV119" s="3">
        <f t="shared" si="105"/>
        <v>0</v>
      </c>
      <c r="EW119" s="3">
        <f t="shared" si="105"/>
        <v>0</v>
      </c>
      <c r="EX119" s="3">
        <f t="shared" si="105"/>
        <v>0</v>
      </c>
      <c r="EY119" s="3">
        <f t="shared" si="105"/>
        <v>0</v>
      </c>
      <c r="EZ119" s="3">
        <f t="shared" si="105"/>
        <v>0</v>
      </c>
      <c r="FA119" s="3">
        <f t="shared" si="105"/>
        <v>0</v>
      </c>
      <c r="FB119" s="3">
        <f t="shared" si="105"/>
        <v>0</v>
      </c>
      <c r="FC119" s="3">
        <f t="shared" si="105"/>
        <v>0</v>
      </c>
      <c r="FD119" s="3">
        <f t="shared" si="105"/>
        <v>0</v>
      </c>
      <c r="FE119" s="3">
        <f t="shared" si="105"/>
        <v>0</v>
      </c>
      <c r="FF119" s="3">
        <f t="shared" si="105"/>
        <v>0</v>
      </c>
      <c r="FG119" s="3">
        <f t="shared" si="105"/>
        <v>0</v>
      </c>
      <c r="FH119" s="3">
        <f t="shared" si="105"/>
        <v>0</v>
      </c>
      <c r="FI119" s="3">
        <f t="shared" si="105"/>
        <v>0</v>
      </c>
      <c r="FJ119" s="3">
        <f t="shared" si="105"/>
        <v>0</v>
      </c>
      <c r="FK119" s="3">
        <f t="shared" si="105"/>
        <v>0</v>
      </c>
      <c r="FL119" s="3">
        <f t="shared" si="105"/>
        <v>0</v>
      </c>
      <c r="FM119" s="3">
        <f t="shared" si="105"/>
        <v>0</v>
      </c>
      <c r="FN119" s="3">
        <f t="shared" si="105"/>
        <v>0</v>
      </c>
      <c r="FO119" s="3">
        <f t="shared" si="105"/>
        <v>0</v>
      </c>
      <c r="FP119" s="3">
        <f t="shared" si="105"/>
        <v>0</v>
      </c>
      <c r="FQ119" s="3">
        <f t="shared" si="105"/>
        <v>0</v>
      </c>
      <c r="FR119" s="3">
        <f t="shared" si="105"/>
        <v>0</v>
      </c>
      <c r="FS119" s="3">
        <f t="shared" ref="FS119:GX119" si="106">FS136</f>
        <v>0</v>
      </c>
      <c r="FT119" s="3">
        <f t="shared" si="106"/>
        <v>0</v>
      </c>
      <c r="FU119" s="3">
        <f t="shared" si="106"/>
        <v>0</v>
      </c>
      <c r="FV119" s="3">
        <f t="shared" si="106"/>
        <v>0</v>
      </c>
      <c r="FW119" s="3">
        <f t="shared" si="106"/>
        <v>0</v>
      </c>
      <c r="FX119" s="3">
        <f t="shared" si="106"/>
        <v>0</v>
      </c>
      <c r="FY119" s="3">
        <f t="shared" si="106"/>
        <v>0</v>
      </c>
      <c r="FZ119" s="3">
        <f t="shared" si="106"/>
        <v>0</v>
      </c>
      <c r="GA119" s="3">
        <f t="shared" si="106"/>
        <v>0</v>
      </c>
      <c r="GB119" s="3">
        <f t="shared" si="106"/>
        <v>0</v>
      </c>
      <c r="GC119" s="3">
        <f t="shared" si="106"/>
        <v>0</v>
      </c>
      <c r="GD119" s="3">
        <f t="shared" si="106"/>
        <v>0</v>
      </c>
      <c r="GE119" s="3">
        <f t="shared" si="106"/>
        <v>0</v>
      </c>
      <c r="GF119" s="3">
        <f t="shared" si="106"/>
        <v>0</v>
      </c>
      <c r="GG119" s="3">
        <f t="shared" si="106"/>
        <v>0</v>
      </c>
      <c r="GH119" s="3">
        <f t="shared" si="106"/>
        <v>0</v>
      </c>
      <c r="GI119" s="3">
        <f t="shared" si="106"/>
        <v>0</v>
      </c>
      <c r="GJ119" s="3">
        <f t="shared" si="106"/>
        <v>0</v>
      </c>
      <c r="GK119" s="3">
        <f t="shared" si="106"/>
        <v>0</v>
      </c>
      <c r="GL119" s="3">
        <f t="shared" si="106"/>
        <v>0</v>
      </c>
      <c r="GM119" s="3">
        <f t="shared" si="106"/>
        <v>0</v>
      </c>
      <c r="GN119" s="3">
        <f t="shared" si="106"/>
        <v>0</v>
      </c>
      <c r="GO119" s="3">
        <f t="shared" si="106"/>
        <v>0</v>
      </c>
      <c r="GP119" s="3">
        <f t="shared" si="106"/>
        <v>0</v>
      </c>
      <c r="GQ119" s="3">
        <f t="shared" si="106"/>
        <v>0</v>
      </c>
      <c r="GR119" s="3">
        <f t="shared" si="106"/>
        <v>0</v>
      </c>
      <c r="GS119" s="3">
        <f t="shared" si="106"/>
        <v>0</v>
      </c>
      <c r="GT119" s="3">
        <f t="shared" si="106"/>
        <v>0</v>
      </c>
      <c r="GU119" s="3">
        <f t="shared" si="106"/>
        <v>0</v>
      </c>
      <c r="GV119" s="3">
        <f t="shared" si="106"/>
        <v>0</v>
      </c>
      <c r="GW119" s="3">
        <f t="shared" si="106"/>
        <v>0</v>
      </c>
      <c r="GX119" s="3">
        <f t="shared" si="106"/>
        <v>0</v>
      </c>
    </row>
    <row r="121" spans="1:245" x14ac:dyDescent="0.2">
      <c r="A121">
        <v>17</v>
      </c>
      <c r="B121">
        <v>1</v>
      </c>
      <c r="D121">
        <f>ROW(EtalonRes!A50)</f>
        <v>50</v>
      </c>
      <c r="E121" t="s">
        <v>152</v>
      </c>
      <c r="F121" t="s">
        <v>153</v>
      </c>
      <c r="G121" t="s">
        <v>154</v>
      </c>
      <c r="H121" t="s">
        <v>37</v>
      </c>
      <c r="I121">
        <f>ROUND(14/10,9)</f>
        <v>1.4</v>
      </c>
      <c r="J121">
        <v>0</v>
      </c>
      <c r="K121">
        <f>ROUND(14/10,9)</f>
        <v>1.4</v>
      </c>
      <c r="O121">
        <f t="shared" ref="O121:O134" si="107">ROUND(CP121,2)</f>
        <v>15907.21</v>
      </c>
      <c r="P121">
        <f t="shared" ref="P121:P134" si="108">ROUND(CQ121*I121,2)</f>
        <v>0</v>
      </c>
      <c r="Q121">
        <f t="shared" ref="Q121:Q134" si="109">ROUND(CR121*I121,2)</f>
        <v>0</v>
      </c>
      <c r="R121">
        <f t="shared" ref="R121:R134" si="110">ROUND(CS121*I121,2)</f>
        <v>0</v>
      </c>
      <c r="S121">
        <f t="shared" ref="S121:S134" si="111">ROUND(CT121*I121,2)</f>
        <v>15907.21</v>
      </c>
      <c r="T121">
        <f t="shared" ref="T121:T134" si="112">ROUND(CU121*I121,2)</f>
        <v>0</v>
      </c>
      <c r="U121">
        <f t="shared" ref="U121:U134" si="113">CV121*I121</f>
        <v>29.988</v>
      </c>
      <c r="V121">
        <f t="shared" ref="V121:V134" si="114">CW121*I121</f>
        <v>0</v>
      </c>
      <c r="W121">
        <f t="shared" ref="W121:W134" si="115">ROUND(CX121*I121,2)</f>
        <v>0</v>
      </c>
      <c r="X121">
        <f t="shared" ref="X121:X134" si="116">ROUND(CY121,2)</f>
        <v>11135.05</v>
      </c>
      <c r="Y121">
        <f t="shared" ref="Y121:Y134" si="117">ROUND(CZ121,2)</f>
        <v>1590.72</v>
      </c>
      <c r="AA121">
        <v>1407491423</v>
      </c>
      <c r="AB121">
        <f t="shared" ref="AB121:AB134" si="118">ROUND((AC121+AD121+AF121),6)</f>
        <v>11362.29</v>
      </c>
      <c r="AC121">
        <f>ROUND(((ES121*17)),6)</f>
        <v>0</v>
      </c>
      <c r="AD121">
        <f>ROUND(((((ET121*17))-((EU121*17)))+AE121),6)</f>
        <v>0</v>
      </c>
      <c r="AE121">
        <f t="shared" ref="AE121:AF123" si="119">ROUND(((EU121*17)),6)</f>
        <v>0</v>
      </c>
      <c r="AF121">
        <f t="shared" si="119"/>
        <v>11362.29</v>
      </c>
      <c r="AG121">
        <f t="shared" ref="AG121:AG134" si="120">ROUND((AP121),6)</f>
        <v>0</v>
      </c>
      <c r="AH121">
        <f t="shared" ref="AH121:AI123" si="121">((EW121*17))</f>
        <v>21.42</v>
      </c>
      <c r="AI121">
        <f t="shared" si="121"/>
        <v>0</v>
      </c>
      <c r="AJ121">
        <f t="shared" ref="AJ121:AJ134" si="122">(AS121)</f>
        <v>0</v>
      </c>
      <c r="AK121">
        <v>668.37</v>
      </c>
      <c r="AL121">
        <v>0</v>
      </c>
      <c r="AM121">
        <v>0</v>
      </c>
      <c r="AN121">
        <v>0</v>
      </c>
      <c r="AO121">
        <v>668.37</v>
      </c>
      <c r="AP121">
        <v>0</v>
      </c>
      <c r="AQ121">
        <v>1.26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155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ref="CP121:CP134" si="123">(P121+Q121+S121)</f>
        <v>15907.21</v>
      </c>
      <c r="CQ121">
        <f t="shared" ref="CQ121:CQ134" si="124">(AC121*BC121*AW121)</f>
        <v>0</v>
      </c>
      <c r="CR121">
        <f>(((((ET121*17))*BB121-((EU121*17))*BS121)+AE121*BS121)*AV121)</f>
        <v>0</v>
      </c>
      <c r="CS121">
        <f t="shared" ref="CS121:CS134" si="125">(AE121*BS121*AV121)</f>
        <v>0</v>
      </c>
      <c r="CT121">
        <f t="shared" ref="CT121:CT134" si="126">(AF121*BA121*AV121)</f>
        <v>11362.29</v>
      </c>
      <c r="CU121">
        <f t="shared" ref="CU121:CU134" si="127">AG121</f>
        <v>0</v>
      </c>
      <c r="CV121">
        <f t="shared" ref="CV121:CV134" si="128">(AH121*AV121)</f>
        <v>21.42</v>
      </c>
      <c r="CW121">
        <f t="shared" ref="CW121:CW134" si="129">AI121</f>
        <v>0</v>
      </c>
      <c r="CX121">
        <f t="shared" ref="CX121:CX134" si="130">AJ121</f>
        <v>0</v>
      </c>
      <c r="CY121">
        <f t="shared" ref="CY121:CY134" si="131">((S121*BZ121)/100)</f>
        <v>11135.046999999999</v>
      </c>
      <c r="CZ121">
        <f t="shared" ref="CZ121:CZ134" si="132">((S121*CA121)/100)</f>
        <v>1590.7209999999998</v>
      </c>
      <c r="DC121" t="s">
        <v>3</v>
      </c>
      <c r="DD121" t="s">
        <v>156</v>
      </c>
      <c r="DE121" t="s">
        <v>156</v>
      </c>
      <c r="DF121" t="s">
        <v>156</v>
      </c>
      <c r="DG121" t="s">
        <v>156</v>
      </c>
      <c r="DH121" t="s">
        <v>3</v>
      </c>
      <c r="DI121" t="s">
        <v>156</v>
      </c>
      <c r="DJ121" t="s">
        <v>156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37</v>
      </c>
      <c r="DW121" t="s">
        <v>37</v>
      </c>
      <c r="DX121">
        <v>10</v>
      </c>
      <c r="DZ121" t="s">
        <v>3</v>
      </c>
      <c r="EA121" t="s">
        <v>3</v>
      </c>
      <c r="EB121" t="s">
        <v>3</v>
      </c>
      <c r="EC121" t="s">
        <v>3</v>
      </c>
      <c r="EE121">
        <v>1364533919</v>
      </c>
      <c r="EF121">
        <v>1</v>
      </c>
      <c r="EG121" t="s">
        <v>21</v>
      </c>
      <c r="EH121">
        <v>0</v>
      </c>
      <c r="EI121" t="s">
        <v>3</v>
      </c>
      <c r="EJ121">
        <v>4</v>
      </c>
      <c r="EK121">
        <v>0</v>
      </c>
      <c r="EL121" t="s">
        <v>22</v>
      </c>
      <c r="EM121" t="s">
        <v>23</v>
      </c>
      <c r="EO121" t="s">
        <v>3</v>
      </c>
      <c r="EQ121">
        <v>0</v>
      </c>
      <c r="ER121">
        <v>668.37</v>
      </c>
      <c r="ES121">
        <v>0</v>
      </c>
      <c r="ET121">
        <v>0</v>
      </c>
      <c r="EU121">
        <v>0</v>
      </c>
      <c r="EV121">
        <v>668.37</v>
      </c>
      <c r="EW121">
        <v>1.26</v>
      </c>
      <c r="EX121">
        <v>0</v>
      </c>
      <c r="EY121">
        <v>0</v>
      </c>
      <c r="FQ121">
        <v>0</v>
      </c>
      <c r="FR121">
        <f t="shared" ref="FR121:FR134" si="133">ROUND(IF(BI121=3,GM121,0),2)</f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1221928224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ref="GL121:GL134" si="134">ROUND(IF(AND(BH121=3,BI121=3,FS121&lt;&gt;0),P121,0),2)</f>
        <v>0</v>
      </c>
      <c r="GM121">
        <f t="shared" ref="GM121:GM134" si="135">ROUND(O121+X121+Y121+GK121,2)+GX121</f>
        <v>28632.98</v>
      </c>
      <c r="GN121">
        <f t="shared" ref="GN121:GN134" si="136">IF(OR(BI121=0,BI121=1),ROUND(O121+X121+Y121+GK121,2),0)</f>
        <v>0</v>
      </c>
      <c r="GO121">
        <f t="shared" ref="GO121:GO134" si="137">IF(BI121=2,ROUND(O121+X121+Y121+GK121,2),0)</f>
        <v>0</v>
      </c>
      <c r="GP121">
        <f t="shared" ref="GP121:GP134" si="138">IF(BI121=4,ROUND(O121+X121+Y121+GK121,2)+GX121,0)</f>
        <v>28632.98</v>
      </c>
      <c r="GR121">
        <v>0</v>
      </c>
      <c r="GS121">
        <v>3</v>
      </c>
      <c r="GT121">
        <v>0</v>
      </c>
      <c r="GU121" t="s">
        <v>3</v>
      </c>
      <c r="GV121">
        <f t="shared" ref="GV121:GV134" si="139">ROUND((GT121),6)</f>
        <v>0</v>
      </c>
      <c r="GW121">
        <v>1</v>
      </c>
      <c r="GX121">
        <f t="shared" ref="GX121:GX134" si="140">ROUND(HC121*I121,2)</f>
        <v>0</v>
      </c>
      <c r="HA121">
        <v>0</v>
      </c>
      <c r="HB121">
        <v>0</v>
      </c>
      <c r="HC121">
        <f t="shared" ref="HC121:HC134" si="141">GV121*GW121</f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D122">
        <f>ROW(EtalonRes!A51)</f>
        <v>51</v>
      </c>
      <c r="E122" t="s">
        <v>157</v>
      </c>
      <c r="F122" t="s">
        <v>158</v>
      </c>
      <c r="G122" t="s">
        <v>159</v>
      </c>
      <c r="H122" t="s">
        <v>37</v>
      </c>
      <c r="I122">
        <f>ROUND(13/10,9)</f>
        <v>1.3</v>
      </c>
      <c r="J122">
        <v>0</v>
      </c>
      <c r="K122">
        <f>ROUND(13/10,9)</f>
        <v>1.3</v>
      </c>
      <c r="O122">
        <f t="shared" si="107"/>
        <v>2696.2</v>
      </c>
      <c r="P122">
        <f t="shared" si="108"/>
        <v>0</v>
      </c>
      <c r="Q122">
        <f t="shared" si="109"/>
        <v>0</v>
      </c>
      <c r="R122">
        <f t="shared" si="110"/>
        <v>0</v>
      </c>
      <c r="S122">
        <f t="shared" si="111"/>
        <v>2696.2</v>
      </c>
      <c r="T122">
        <f t="shared" si="112"/>
        <v>0</v>
      </c>
      <c r="U122">
        <f t="shared" si="113"/>
        <v>5.0830000000000002</v>
      </c>
      <c r="V122">
        <f t="shared" si="114"/>
        <v>0</v>
      </c>
      <c r="W122">
        <f t="shared" si="115"/>
        <v>0</v>
      </c>
      <c r="X122">
        <f t="shared" si="116"/>
        <v>1887.34</v>
      </c>
      <c r="Y122">
        <f t="shared" si="117"/>
        <v>269.62</v>
      </c>
      <c r="AA122">
        <v>1407491423</v>
      </c>
      <c r="AB122">
        <f t="shared" si="118"/>
        <v>2074</v>
      </c>
      <c r="AC122">
        <f>ROUND(((ES122*17)),6)</f>
        <v>0</v>
      </c>
      <c r="AD122">
        <f>ROUND(((((ET122*17))-((EU122*17)))+AE122),6)</f>
        <v>0</v>
      </c>
      <c r="AE122">
        <f t="shared" si="119"/>
        <v>0</v>
      </c>
      <c r="AF122">
        <f t="shared" si="119"/>
        <v>2074</v>
      </c>
      <c r="AG122">
        <f t="shared" si="120"/>
        <v>0</v>
      </c>
      <c r="AH122">
        <f t="shared" si="121"/>
        <v>3.91</v>
      </c>
      <c r="AI122">
        <f t="shared" si="121"/>
        <v>0</v>
      </c>
      <c r="AJ122">
        <f t="shared" si="122"/>
        <v>0</v>
      </c>
      <c r="AK122">
        <v>122</v>
      </c>
      <c r="AL122">
        <v>0</v>
      </c>
      <c r="AM122">
        <v>0</v>
      </c>
      <c r="AN122">
        <v>0</v>
      </c>
      <c r="AO122">
        <v>122</v>
      </c>
      <c r="AP122">
        <v>0</v>
      </c>
      <c r="AQ122">
        <v>0.23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160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23"/>
        <v>2696.2</v>
      </c>
      <c r="CQ122">
        <f t="shared" si="124"/>
        <v>0</v>
      </c>
      <c r="CR122">
        <f>(((((ET122*17))*BB122-((EU122*17))*BS122)+AE122*BS122)*AV122)</f>
        <v>0</v>
      </c>
      <c r="CS122">
        <f t="shared" si="125"/>
        <v>0</v>
      </c>
      <c r="CT122">
        <f t="shared" si="126"/>
        <v>2074</v>
      </c>
      <c r="CU122">
        <f t="shared" si="127"/>
        <v>0</v>
      </c>
      <c r="CV122">
        <f t="shared" si="128"/>
        <v>3.91</v>
      </c>
      <c r="CW122">
        <f t="shared" si="129"/>
        <v>0</v>
      </c>
      <c r="CX122">
        <f t="shared" si="130"/>
        <v>0</v>
      </c>
      <c r="CY122">
        <f t="shared" si="131"/>
        <v>1887.34</v>
      </c>
      <c r="CZ122">
        <f t="shared" si="132"/>
        <v>269.62</v>
      </c>
      <c r="DC122" t="s">
        <v>3</v>
      </c>
      <c r="DD122" t="s">
        <v>156</v>
      </c>
      <c r="DE122" t="s">
        <v>156</v>
      </c>
      <c r="DF122" t="s">
        <v>156</v>
      </c>
      <c r="DG122" t="s">
        <v>156</v>
      </c>
      <c r="DH122" t="s">
        <v>3</v>
      </c>
      <c r="DI122" t="s">
        <v>156</v>
      </c>
      <c r="DJ122" t="s">
        <v>156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16987630</v>
      </c>
      <c r="DV122" t="s">
        <v>37</v>
      </c>
      <c r="DW122" t="s">
        <v>37</v>
      </c>
      <c r="DX122">
        <v>10</v>
      </c>
      <c r="DZ122" t="s">
        <v>3</v>
      </c>
      <c r="EA122" t="s">
        <v>3</v>
      </c>
      <c r="EB122" t="s">
        <v>3</v>
      </c>
      <c r="EC122" t="s">
        <v>3</v>
      </c>
      <c r="EE122">
        <v>1364533919</v>
      </c>
      <c r="EF122">
        <v>1</v>
      </c>
      <c r="EG122" t="s">
        <v>21</v>
      </c>
      <c r="EH122">
        <v>0</v>
      </c>
      <c r="EI122" t="s">
        <v>3</v>
      </c>
      <c r="EJ122">
        <v>4</v>
      </c>
      <c r="EK122">
        <v>0</v>
      </c>
      <c r="EL122" t="s">
        <v>22</v>
      </c>
      <c r="EM122" t="s">
        <v>23</v>
      </c>
      <c r="EO122" t="s">
        <v>3</v>
      </c>
      <c r="EQ122">
        <v>0</v>
      </c>
      <c r="ER122">
        <v>122</v>
      </c>
      <c r="ES122">
        <v>0</v>
      </c>
      <c r="ET122">
        <v>0</v>
      </c>
      <c r="EU122">
        <v>0</v>
      </c>
      <c r="EV122">
        <v>122</v>
      </c>
      <c r="EW122">
        <v>0.23</v>
      </c>
      <c r="EX122">
        <v>0</v>
      </c>
      <c r="EY122">
        <v>0</v>
      </c>
      <c r="FQ122">
        <v>0</v>
      </c>
      <c r="FR122">
        <f t="shared" si="133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1035641052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</v>
      </c>
      <c r="GL122">
        <f t="shared" si="134"/>
        <v>0</v>
      </c>
      <c r="GM122">
        <f t="shared" si="135"/>
        <v>4853.16</v>
      </c>
      <c r="GN122">
        <f t="shared" si="136"/>
        <v>0</v>
      </c>
      <c r="GO122">
        <f t="shared" si="137"/>
        <v>0</v>
      </c>
      <c r="GP122">
        <f t="shared" si="138"/>
        <v>4853.16</v>
      </c>
      <c r="GR122">
        <v>0</v>
      </c>
      <c r="GS122">
        <v>3</v>
      </c>
      <c r="GT122">
        <v>0</v>
      </c>
      <c r="GU122" t="s">
        <v>3</v>
      </c>
      <c r="GV122">
        <f t="shared" si="139"/>
        <v>0</v>
      </c>
      <c r="GW122">
        <v>1</v>
      </c>
      <c r="GX122">
        <f t="shared" si="140"/>
        <v>0</v>
      </c>
      <c r="HA122">
        <v>0</v>
      </c>
      <c r="HB122">
        <v>0</v>
      </c>
      <c r="HC122">
        <f t="shared" si="141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D123">
        <f>ROW(EtalonRes!A52)</f>
        <v>52</v>
      </c>
      <c r="E123" t="s">
        <v>161</v>
      </c>
      <c r="F123" t="s">
        <v>158</v>
      </c>
      <c r="G123" t="s">
        <v>162</v>
      </c>
      <c r="H123" t="s">
        <v>37</v>
      </c>
      <c r="I123">
        <f>ROUND(1/10,9)</f>
        <v>0.1</v>
      </c>
      <c r="J123">
        <v>0</v>
      </c>
      <c r="K123">
        <f>ROUND(1/10,9)</f>
        <v>0.1</v>
      </c>
      <c r="O123">
        <f t="shared" si="107"/>
        <v>207.4</v>
      </c>
      <c r="P123">
        <f t="shared" si="108"/>
        <v>0</v>
      </c>
      <c r="Q123">
        <f t="shared" si="109"/>
        <v>0</v>
      </c>
      <c r="R123">
        <f t="shared" si="110"/>
        <v>0</v>
      </c>
      <c r="S123">
        <f t="shared" si="111"/>
        <v>207.4</v>
      </c>
      <c r="T123">
        <f t="shared" si="112"/>
        <v>0</v>
      </c>
      <c r="U123">
        <f t="shared" si="113"/>
        <v>0.39100000000000001</v>
      </c>
      <c r="V123">
        <f t="shared" si="114"/>
        <v>0</v>
      </c>
      <c r="W123">
        <f t="shared" si="115"/>
        <v>0</v>
      </c>
      <c r="X123">
        <f t="shared" si="116"/>
        <v>145.18</v>
      </c>
      <c r="Y123">
        <f t="shared" si="117"/>
        <v>20.74</v>
      </c>
      <c r="AA123">
        <v>1407491423</v>
      </c>
      <c r="AB123">
        <f t="shared" si="118"/>
        <v>2074</v>
      </c>
      <c r="AC123">
        <f>ROUND(((ES123*17)),6)</f>
        <v>0</v>
      </c>
      <c r="AD123">
        <f>ROUND(((((ET123*17))-((EU123*17)))+AE123),6)</f>
        <v>0</v>
      </c>
      <c r="AE123">
        <f t="shared" si="119"/>
        <v>0</v>
      </c>
      <c r="AF123">
        <f t="shared" si="119"/>
        <v>2074</v>
      </c>
      <c r="AG123">
        <f t="shared" si="120"/>
        <v>0</v>
      </c>
      <c r="AH123">
        <f t="shared" si="121"/>
        <v>3.91</v>
      </c>
      <c r="AI123">
        <f t="shared" si="121"/>
        <v>0</v>
      </c>
      <c r="AJ123">
        <f t="shared" si="122"/>
        <v>0</v>
      </c>
      <c r="AK123">
        <v>122</v>
      </c>
      <c r="AL123">
        <v>0</v>
      </c>
      <c r="AM123">
        <v>0</v>
      </c>
      <c r="AN123">
        <v>0</v>
      </c>
      <c r="AO123">
        <v>122</v>
      </c>
      <c r="AP123">
        <v>0</v>
      </c>
      <c r="AQ123">
        <v>0.23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160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23"/>
        <v>207.4</v>
      </c>
      <c r="CQ123">
        <f t="shared" si="124"/>
        <v>0</v>
      </c>
      <c r="CR123">
        <f>(((((ET123*17))*BB123-((EU123*17))*BS123)+AE123*BS123)*AV123)</f>
        <v>0</v>
      </c>
      <c r="CS123">
        <f t="shared" si="125"/>
        <v>0</v>
      </c>
      <c r="CT123">
        <f t="shared" si="126"/>
        <v>2074</v>
      </c>
      <c r="CU123">
        <f t="shared" si="127"/>
        <v>0</v>
      </c>
      <c r="CV123">
        <f t="shared" si="128"/>
        <v>3.91</v>
      </c>
      <c r="CW123">
        <f t="shared" si="129"/>
        <v>0</v>
      </c>
      <c r="CX123">
        <f t="shared" si="130"/>
        <v>0</v>
      </c>
      <c r="CY123">
        <f t="shared" si="131"/>
        <v>145.18</v>
      </c>
      <c r="CZ123">
        <f t="shared" si="132"/>
        <v>20.74</v>
      </c>
      <c r="DC123" t="s">
        <v>3</v>
      </c>
      <c r="DD123" t="s">
        <v>156</v>
      </c>
      <c r="DE123" t="s">
        <v>156</v>
      </c>
      <c r="DF123" t="s">
        <v>156</v>
      </c>
      <c r="DG123" t="s">
        <v>156</v>
      </c>
      <c r="DH123" t="s">
        <v>3</v>
      </c>
      <c r="DI123" t="s">
        <v>156</v>
      </c>
      <c r="DJ123" t="s">
        <v>156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16987630</v>
      </c>
      <c r="DV123" t="s">
        <v>37</v>
      </c>
      <c r="DW123" t="s">
        <v>37</v>
      </c>
      <c r="DX123">
        <v>10</v>
      </c>
      <c r="DZ123" t="s">
        <v>3</v>
      </c>
      <c r="EA123" t="s">
        <v>3</v>
      </c>
      <c r="EB123" t="s">
        <v>3</v>
      </c>
      <c r="EC123" t="s">
        <v>3</v>
      </c>
      <c r="EE123">
        <v>1364533919</v>
      </c>
      <c r="EF123">
        <v>1</v>
      </c>
      <c r="EG123" t="s">
        <v>21</v>
      </c>
      <c r="EH123">
        <v>0</v>
      </c>
      <c r="EI123" t="s">
        <v>3</v>
      </c>
      <c r="EJ123">
        <v>4</v>
      </c>
      <c r="EK123">
        <v>0</v>
      </c>
      <c r="EL123" t="s">
        <v>22</v>
      </c>
      <c r="EM123" t="s">
        <v>23</v>
      </c>
      <c r="EO123" t="s">
        <v>3</v>
      </c>
      <c r="EQ123">
        <v>0</v>
      </c>
      <c r="ER123">
        <v>122</v>
      </c>
      <c r="ES123">
        <v>0</v>
      </c>
      <c r="ET123">
        <v>0</v>
      </c>
      <c r="EU123">
        <v>0</v>
      </c>
      <c r="EV123">
        <v>122</v>
      </c>
      <c r="EW123">
        <v>0.23</v>
      </c>
      <c r="EX123">
        <v>0</v>
      </c>
      <c r="EY123">
        <v>0</v>
      </c>
      <c r="FQ123">
        <v>0</v>
      </c>
      <c r="FR123">
        <f t="shared" si="133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435085678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34"/>
        <v>0</v>
      </c>
      <c r="GM123">
        <f t="shared" si="135"/>
        <v>373.32</v>
      </c>
      <c r="GN123">
        <f t="shared" si="136"/>
        <v>0</v>
      </c>
      <c r="GO123">
        <f t="shared" si="137"/>
        <v>0</v>
      </c>
      <c r="GP123">
        <f t="shared" si="138"/>
        <v>373.32</v>
      </c>
      <c r="GR123">
        <v>0</v>
      </c>
      <c r="GS123">
        <v>3</v>
      </c>
      <c r="GT123">
        <v>0</v>
      </c>
      <c r="GU123" t="s">
        <v>3</v>
      </c>
      <c r="GV123">
        <f t="shared" si="139"/>
        <v>0</v>
      </c>
      <c r="GW123">
        <v>1</v>
      </c>
      <c r="GX123">
        <f t="shared" si="140"/>
        <v>0</v>
      </c>
      <c r="HA123">
        <v>0</v>
      </c>
      <c r="HB123">
        <v>0</v>
      </c>
      <c r="HC123">
        <f t="shared" si="141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D124">
        <f>ROW(EtalonRes!A57)</f>
        <v>57</v>
      </c>
      <c r="E124" t="s">
        <v>163</v>
      </c>
      <c r="F124" t="s">
        <v>164</v>
      </c>
      <c r="G124" t="s">
        <v>165</v>
      </c>
      <c r="H124" t="s">
        <v>149</v>
      </c>
      <c r="I124">
        <f>ROUND(14/100,9)</f>
        <v>0.14000000000000001</v>
      </c>
      <c r="J124">
        <v>0</v>
      </c>
      <c r="K124">
        <f>ROUND(14/100,9)</f>
        <v>0.14000000000000001</v>
      </c>
      <c r="O124">
        <f t="shared" si="107"/>
        <v>6500.31</v>
      </c>
      <c r="P124">
        <f t="shared" si="108"/>
        <v>128.16999999999999</v>
      </c>
      <c r="Q124">
        <f t="shared" si="109"/>
        <v>6.04</v>
      </c>
      <c r="R124">
        <f t="shared" si="110"/>
        <v>0.01</v>
      </c>
      <c r="S124">
        <f t="shared" si="111"/>
        <v>6366.1</v>
      </c>
      <c r="T124">
        <f t="shared" si="112"/>
        <v>0</v>
      </c>
      <c r="U124">
        <f t="shared" si="113"/>
        <v>14.621600000000001</v>
      </c>
      <c r="V124">
        <f t="shared" si="114"/>
        <v>0</v>
      </c>
      <c r="W124">
        <f t="shared" si="115"/>
        <v>0</v>
      </c>
      <c r="X124">
        <f t="shared" si="116"/>
        <v>4456.2700000000004</v>
      </c>
      <c r="Y124">
        <f t="shared" si="117"/>
        <v>636.61</v>
      </c>
      <c r="AA124">
        <v>1407491423</v>
      </c>
      <c r="AB124">
        <f t="shared" si="118"/>
        <v>46430.8</v>
      </c>
      <c r="AC124">
        <f>ROUND((ES124),6)</f>
        <v>915.52</v>
      </c>
      <c r="AD124">
        <f>ROUND((((ET124)-(EU124))+AE124),6)</f>
        <v>43.15</v>
      </c>
      <c r="AE124">
        <f t="shared" ref="AE124:AF126" si="142">ROUND((EU124),6)</f>
        <v>0.06</v>
      </c>
      <c r="AF124">
        <f t="shared" si="142"/>
        <v>45472.13</v>
      </c>
      <c r="AG124">
        <f t="shared" si="120"/>
        <v>0</v>
      </c>
      <c r="AH124">
        <f t="shared" ref="AH124:AI126" si="143">(EW124)</f>
        <v>104.44</v>
      </c>
      <c r="AI124">
        <f t="shared" si="143"/>
        <v>0</v>
      </c>
      <c r="AJ124">
        <f t="shared" si="122"/>
        <v>0</v>
      </c>
      <c r="AK124">
        <v>46430.8</v>
      </c>
      <c r="AL124">
        <v>915.52</v>
      </c>
      <c r="AM124">
        <v>43.15</v>
      </c>
      <c r="AN124">
        <v>0.06</v>
      </c>
      <c r="AO124">
        <v>45472.13</v>
      </c>
      <c r="AP124">
        <v>0</v>
      </c>
      <c r="AQ124">
        <v>104.44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166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23"/>
        <v>6500.31</v>
      </c>
      <c r="CQ124">
        <f t="shared" si="124"/>
        <v>915.52</v>
      </c>
      <c r="CR124">
        <f>((((ET124)*BB124-(EU124)*BS124)+AE124*BS124)*AV124)</f>
        <v>43.15</v>
      </c>
      <c r="CS124">
        <f t="shared" si="125"/>
        <v>0.06</v>
      </c>
      <c r="CT124">
        <f t="shared" si="126"/>
        <v>45472.13</v>
      </c>
      <c r="CU124">
        <f t="shared" si="127"/>
        <v>0</v>
      </c>
      <c r="CV124">
        <f t="shared" si="128"/>
        <v>104.44</v>
      </c>
      <c r="CW124">
        <f t="shared" si="129"/>
        <v>0</v>
      </c>
      <c r="CX124">
        <f t="shared" si="130"/>
        <v>0</v>
      </c>
      <c r="CY124">
        <f t="shared" si="131"/>
        <v>4456.2700000000004</v>
      </c>
      <c r="CZ124">
        <f t="shared" si="132"/>
        <v>636.61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16987630</v>
      </c>
      <c r="DV124" t="s">
        <v>149</v>
      </c>
      <c r="DW124" t="s">
        <v>149</v>
      </c>
      <c r="DX124">
        <v>100</v>
      </c>
      <c r="DZ124" t="s">
        <v>3</v>
      </c>
      <c r="EA124" t="s">
        <v>3</v>
      </c>
      <c r="EB124" t="s">
        <v>3</v>
      </c>
      <c r="EC124" t="s">
        <v>3</v>
      </c>
      <c r="EE124">
        <v>1364533919</v>
      </c>
      <c r="EF124">
        <v>1</v>
      </c>
      <c r="EG124" t="s">
        <v>21</v>
      </c>
      <c r="EH124">
        <v>0</v>
      </c>
      <c r="EI124" t="s">
        <v>3</v>
      </c>
      <c r="EJ124">
        <v>4</v>
      </c>
      <c r="EK124">
        <v>0</v>
      </c>
      <c r="EL124" t="s">
        <v>22</v>
      </c>
      <c r="EM124" t="s">
        <v>23</v>
      </c>
      <c r="EO124" t="s">
        <v>3</v>
      </c>
      <c r="EQ124">
        <v>0</v>
      </c>
      <c r="ER124">
        <v>46430.8</v>
      </c>
      <c r="ES124">
        <v>915.52</v>
      </c>
      <c r="ET124">
        <v>43.15</v>
      </c>
      <c r="EU124">
        <v>0.06</v>
      </c>
      <c r="EV124">
        <v>45472.13</v>
      </c>
      <c r="EW124">
        <v>104.44</v>
      </c>
      <c r="EX124">
        <v>0</v>
      </c>
      <c r="EY124">
        <v>0</v>
      </c>
      <c r="FQ124">
        <v>0</v>
      </c>
      <c r="FR124">
        <f t="shared" si="133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697068346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0.01</v>
      </c>
      <c r="GL124">
        <f t="shared" si="134"/>
        <v>0</v>
      </c>
      <c r="GM124">
        <f t="shared" si="135"/>
        <v>11593.2</v>
      </c>
      <c r="GN124">
        <f t="shared" si="136"/>
        <v>0</v>
      </c>
      <c r="GO124">
        <f t="shared" si="137"/>
        <v>0</v>
      </c>
      <c r="GP124">
        <f t="shared" si="138"/>
        <v>11593.2</v>
      </c>
      <c r="GR124">
        <v>0</v>
      </c>
      <c r="GS124">
        <v>3</v>
      </c>
      <c r="GT124">
        <v>0</v>
      </c>
      <c r="GU124" t="s">
        <v>3</v>
      </c>
      <c r="GV124">
        <f t="shared" si="139"/>
        <v>0</v>
      </c>
      <c r="GW124">
        <v>1</v>
      </c>
      <c r="GX124">
        <f t="shared" si="140"/>
        <v>0</v>
      </c>
      <c r="HA124">
        <v>0</v>
      </c>
      <c r="HB124">
        <v>0</v>
      </c>
      <c r="HC124">
        <f t="shared" si="141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D125">
        <f>ROW(EtalonRes!A62)</f>
        <v>62</v>
      </c>
      <c r="E125" t="s">
        <v>167</v>
      </c>
      <c r="F125" t="s">
        <v>168</v>
      </c>
      <c r="G125" t="s">
        <v>169</v>
      </c>
      <c r="H125" t="s">
        <v>149</v>
      </c>
      <c r="I125">
        <f>ROUND(14/100,9)</f>
        <v>0.14000000000000001</v>
      </c>
      <c r="J125">
        <v>0</v>
      </c>
      <c r="K125">
        <f>ROUND(14/100,9)</f>
        <v>0.14000000000000001</v>
      </c>
      <c r="O125">
        <f t="shared" si="107"/>
        <v>9395.0400000000009</v>
      </c>
      <c r="P125">
        <f t="shared" si="108"/>
        <v>128.16999999999999</v>
      </c>
      <c r="Q125">
        <f t="shared" si="109"/>
        <v>6.04</v>
      </c>
      <c r="R125">
        <f t="shared" si="110"/>
        <v>0.01</v>
      </c>
      <c r="S125">
        <f t="shared" si="111"/>
        <v>9260.83</v>
      </c>
      <c r="T125">
        <f t="shared" si="112"/>
        <v>0</v>
      </c>
      <c r="U125">
        <f t="shared" si="113"/>
        <v>21.270200000000003</v>
      </c>
      <c r="V125">
        <f t="shared" si="114"/>
        <v>0</v>
      </c>
      <c r="W125">
        <f t="shared" si="115"/>
        <v>0</v>
      </c>
      <c r="X125">
        <f t="shared" si="116"/>
        <v>6482.58</v>
      </c>
      <c r="Y125">
        <f t="shared" si="117"/>
        <v>926.08</v>
      </c>
      <c r="AA125">
        <v>1407491423</v>
      </c>
      <c r="AB125">
        <f t="shared" si="118"/>
        <v>67107.47</v>
      </c>
      <c r="AC125">
        <f>ROUND((ES125),6)</f>
        <v>915.52</v>
      </c>
      <c r="AD125">
        <f>ROUND((((ET125)-(EU125))+AE125),6)</f>
        <v>43.15</v>
      </c>
      <c r="AE125">
        <f t="shared" si="142"/>
        <v>0.06</v>
      </c>
      <c r="AF125">
        <f t="shared" si="142"/>
        <v>66148.800000000003</v>
      </c>
      <c r="AG125">
        <f t="shared" si="120"/>
        <v>0</v>
      </c>
      <c r="AH125">
        <f t="shared" si="143"/>
        <v>151.93</v>
      </c>
      <c r="AI125">
        <f t="shared" si="143"/>
        <v>0</v>
      </c>
      <c r="AJ125">
        <f t="shared" si="122"/>
        <v>0</v>
      </c>
      <c r="AK125">
        <v>67107.47</v>
      </c>
      <c r="AL125">
        <v>915.52</v>
      </c>
      <c r="AM125">
        <v>43.15</v>
      </c>
      <c r="AN125">
        <v>0.06</v>
      </c>
      <c r="AO125">
        <v>66148.800000000003</v>
      </c>
      <c r="AP125">
        <v>0</v>
      </c>
      <c r="AQ125">
        <v>151.93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170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23"/>
        <v>9395.0399999999991</v>
      </c>
      <c r="CQ125">
        <f t="shared" si="124"/>
        <v>915.52</v>
      </c>
      <c r="CR125">
        <f>((((ET125)*BB125-(EU125)*BS125)+AE125*BS125)*AV125)</f>
        <v>43.15</v>
      </c>
      <c r="CS125">
        <f t="shared" si="125"/>
        <v>0.06</v>
      </c>
      <c r="CT125">
        <f t="shared" si="126"/>
        <v>66148.800000000003</v>
      </c>
      <c r="CU125">
        <f t="shared" si="127"/>
        <v>0</v>
      </c>
      <c r="CV125">
        <f t="shared" si="128"/>
        <v>151.93</v>
      </c>
      <c r="CW125">
        <f t="shared" si="129"/>
        <v>0</v>
      </c>
      <c r="CX125">
        <f t="shared" si="130"/>
        <v>0</v>
      </c>
      <c r="CY125">
        <f t="shared" si="131"/>
        <v>6482.5810000000001</v>
      </c>
      <c r="CZ125">
        <f t="shared" si="132"/>
        <v>926.08300000000008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16987630</v>
      </c>
      <c r="DV125" t="s">
        <v>149</v>
      </c>
      <c r="DW125" t="s">
        <v>149</v>
      </c>
      <c r="DX125">
        <v>100</v>
      </c>
      <c r="DZ125" t="s">
        <v>3</v>
      </c>
      <c r="EA125" t="s">
        <v>3</v>
      </c>
      <c r="EB125" t="s">
        <v>3</v>
      </c>
      <c r="EC125" t="s">
        <v>3</v>
      </c>
      <c r="EE125">
        <v>1364533919</v>
      </c>
      <c r="EF125">
        <v>1</v>
      </c>
      <c r="EG125" t="s">
        <v>21</v>
      </c>
      <c r="EH125">
        <v>0</v>
      </c>
      <c r="EI125" t="s">
        <v>3</v>
      </c>
      <c r="EJ125">
        <v>4</v>
      </c>
      <c r="EK125">
        <v>0</v>
      </c>
      <c r="EL125" t="s">
        <v>22</v>
      </c>
      <c r="EM125" t="s">
        <v>23</v>
      </c>
      <c r="EO125" t="s">
        <v>3</v>
      </c>
      <c r="EQ125">
        <v>0</v>
      </c>
      <c r="ER125">
        <v>67107.47</v>
      </c>
      <c r="ES125">
        <v>915.52</v>
      </c>
      <c r="ET125">
        <v>43.15</v>
      </c>
      <c r="EU125">
        <v>0.06</v>
      </c>
      <c r="EV125">
        <v>66148.800000000003</v>
      </c>
      <c r="EW125">
        <v>151.93</v>
      </c>
      <c r="EX125">
        <v>0</v>
      </c>
      <c r="EY125">
        <v>0</v>
      </c>
      <c r="FQ125">
        <v>0</v>
      </c>
      <c r="FR125">
        <f t="shared" si="133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-1899333739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0.01</v>
      </c>
      <c r="GL125">
        <f t="shared" si="134"/>
        <v>0</v>
      </c>
      <c r="GM125">
        <f t="shared" si="135"/>
        <v>16803.71</v>
      </c>
      <c r="GN125">
        <f t="shared" si="136"/>
        <v>0</v>
      </c>
      <c r="GO125">
        <f t="shared" si="137"/>
        <v>0</v>
      </c>
      <c r="GP125">
        <f t="shared" si="138"/>
        <v>16803.71</v>
      </c>
      <c r="GR125">
        <v>0</v>
      </c>
      <c r="GS125">
        <v>3</v>
      </c>
      <c r="GT125">
        <v>0</v>
      </c>
      <c r="GU125" t="s">
        <v>3</v>
      </c>
      <c r="GV125">
        <f t="shared" si="139"/>
        <v>0</v>
      </c>
      <c r="GW125">
        <v>1</v>
      </c>
      <c r="GX125">
        <f t="shared" si="140"/>
        <v>0</v>
      </c>
      <c r="HA125">
        <v>0</v>
      </c>
      <c r="HB125">
        <v>0</v>
      </c>
      <c r="HC125">
        <f t="shared" si="141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D126">
        <f>ROW(EtalonRes!A64)</f>
        <v>64</v>
      </c>
      <c r="E126" t="s">
        <v>171</v>
      </c>
      <c r="F126" t="s">
        <v>172</v>
      </c>
      <c r="G126" t="s">
        <v>173</v>
      </c>
      <c r="H126" t="s">
        <v>149</v>
      </c>
      <c r="I126">
        <f>ROUND(5/100,9)</f>
        <v>0.05</v>
      </c>
      <c r="J126">
        <v>0</v>
      </c>
      <c r="K126">
        <f>ROUND(5/100,9)</f>
        <v>0.05</v>
      </c>
      <c r="O126">
        <f t="shared" si="107"/>
        <v>631.75</v>
      </c>
      <c r="P126">
        <f t="shared" si="108"/>
        <v>21.77</v>
      </c>
      <c r="Q126">
        <f t="shared" si="109"/>
        <v>0</v>
      </c>
      <c r="R126">
        <f t="shared" si="110"/>
        <v>0</v>
      </c>
      <c r="S126">
        <f t="shared" si="111"/>
        <v>609.98</v>
      </c>
      <c r="T126">
        <f t="shared" si="112"/>
        <v>0</v>
      </c>
      <c r="U126">
        <f t="shared" si="113"/>
        <v>1.401</v>
      </c>
      <c r="V126">
        <f t="shared" si="114"/>
        <v>0</v>
      </c>
      <c r="W126">
        <f t="shared" si="115"/>
        <v>0</v>
      </c>
      <c r="X126">
        <f t="shared" si="116"/>
        <v>426.99</v>
      </c>
      <c r="Y126">
        <f t="shared" si="117"/>
        <v>61</v>
      </c>
      <c r="AA126">
        <v>1407491423</v>
      </c>
      <c r="AB126">
        <f t="shared" si="118"/>
        <v>12634.97</v>
      </c>
      <c r="AC126">
        <f>ROUND((ES126),6)</f>
        <v>435.34</v>
      </c>
      <c r="AD126">
        <f>ROUND((((ET126)-(EU126))+AE126),6)</f>
        <v>0</v>
      </c>
      <c r="AE126">
        <f t="shared" si="142"/>
        <v>0</v>
      </c>
      <c r="AF126">
        <f t="shared" si="142"/>
        <v>12199.63</v>
      </c>
      <c r="AG126">
        <f t="shared" si="120"/>
        <v>0</v>
      </c>
      <c r="AH126">
        <f t="shared" si="143"/>
        <v>28.02</v>
      </c>
      <c r="AI126">
        <f t="shared" si="143"/>
        <v>0</v>
      </c>
      <c r="AJ126">
        <f t="shared" si="122"/>
        <v>0</v>
      </c>
      <c r="AK126">
        <v>12634.97</v>
      </c>
      <c r="AL126">
        <v>435.34</v>
      </c>
      <c r="AM126">
        <v>0</v>
      </c>
      <c r="AN126">
        <v>0</v>
      </c>
      <c r="AO126">
        <v>12199.63</v>
      </c>
      <c r="AP126">
        <v>0</v>
      </c>
      <c r="AQ126">
        <v>28.02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174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23"/>
        <v>631.75</v>
      </c>
      <c r="CQ126">
        <f t="shared" si="124"/>
        <v>435.34</v>
      </c>
      <c r="CR126">
        <f>((((ET126)*BB126-(EU126)*BS126)+AE126*BS126)*AV126)</f>
        <v>0</v>
      </c>
      <c r="CS126">
        <f t="shared" si="125"/>
        <v>0</v>
      </c>
      <c r="CT126">
        <f t="shared" si="126"/>
        <v>12199.63</v>
      </c>
      <c r="CU126">
        <f t="shared" si="127"/>
        <v>0</v>
      </c>
      <c r="CV126">
        <f t="shared" si="128"/>
        <v>28.02</v>
      </c>
      <c r="CW126">
        <f t="shared" si="129"/>
        <v>0</v>
      </c>
      <c r="CX126">
        <f t="shared" si="130"/>
        <v>0</v>
      </c>
      <c r="CY126">
        <f t="shared" si="131"/>
        <v>426.98599999999999</v>
      </c>
      <c r="CZ126">
        <f t="shared" si="132"/>
        <v>60.998000000000005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149</v>
      </c>
      <c r="DW126" t="s">
        <v>149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1364533919</v>
      </c>
      <c r="EF126">
        <v>1</v>
      </c>
      <c r="EG126" t="s">
        <v>21</v>
      </c>
      <c r="EH126">
        <v>0</v>
      </c>
      <c r="EI126" t="s">
        <v>3</v>
      </c>
      <c r="EJ126">
        <v>4</v>
      </c>
      <c r="EK126">
        <v>0</v>
      </c>
      <c r="EL126" t="s">
        <v>22</v>
      </c>
      <c r="EM126" t="s">
        <v>23</v>
      </c>
      <c r="EO126" t="s">
        <v>3</v>
      </c>
      <c r="EQ126">
        <v>0</v>
      </c>
      <c r="ER126">
        <v>12634.97</v>
      </c>
      <c r="ES126">
        <v>435.34</v>
      </c>
      <c r="ET126">
        <v>0</v>
      </c>
      <c r="EU126">
        <v>0</v>
      </c>
      <c r="EV126">
        <v>12199.63</v>
      </c>
      <c r="EW126">
        <v>28.02</v>
      </c>
      <c r="EX126">
        <v>0</v>
      </c>
      <c r="EY126">
        <v>0</v>
      </c>
      <c r="FQ126">
        <v>0</v>
      </c>
      <c r="FR126">
        <f t="shared" si="133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-989566399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34"/>
        <v>0</v>
      </c>
      <c r="GM126">
        <f t="shared" si="135"/>
        <v>1119.74</v>
      </c>
      <c r="GN126">
        <f t="shared" si="136"/>
        <v>0</v>
      </c>
      <c r="GO126">
        <f t="shared" si="137"/>
        <v>0</v>
      </c>
      <c r="GP126">
        <f t="shared" si="138"/>
        <v>1119.74</v>
      </c>
      <c r="GR126">
        <v>0</v>
      </c>
      <c r="GS126">
        <v>3</v>
      </c>
      <c r="GT126">
        <v>0</v>
      </c>
      <c r="GU126" t="s">
        <v>3</v>
      </c>
      <c r="GV126">
        <f t="shared" si="139"/>
        <v>0</v>
      </c>
      <c r="GW126">
        <v>1</v>
      </c>
      <c r="GX126">
        <f t="shared" si="140"/>
        <v>0</v>
      </c>
      <c r="HA126">
        <v>0</v>
      </c>
      <c r="HB126">
        <v>0</v>
      </c>
      <c r="HC126">
        <f t="shared" si="141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ROW(EtalonRes!A65)</f>
        <v>65</v>
      </c>
      <c r="E127" t="s">
        <v>175</v>
      </c>
      <c r="F127" t="s">
        <v>16</v>
      </c>
      <c r="G127" t="s">
        <v>17</v>
      </c>
      <c r="H127" t="s">
        <v>18</v>
      </c>
      <c r="I127">
        <f>ROUND((214)*0.25*0.1/100,9)</f>
        <v>5.3499999999999999E-2</v>
      </c>
      <c r="J127">
        <v>0</v>
      </c>
      <c r="K127">
        <f>ROUND((214)*0.25*0.1/100,9)</f>
        <v>5.3499999999999999E-2</v>
      </c>
      <c r="O127">
        <f t="shared" si="107"/>
        <v>93.01</v>
      </c>
      <c r="P127">
        <f t="shared" si="108"/>
        <v>0</v>
      </c>
      <c r="Q127">
        <f t="shared" si="109"/>
        <v>0</v>
      </c>
      <c r="R127">
        <f t="shared" si="110"/>
        <v>0</v>
      </c>
      <c r="S127">
        <f t="shared" si="111"/>
        <v>93.01</v>
      </c>
      <c r="T127">
        <f t="shared" si="112"/>
        <v>0</v>
      </c>
      <c r="U127">
        <f t="shared" si="113"/>
        <v>0.19259999999999999</v>
      </c>
      <c r="V127">
        <f t="shared" si="114"/>
        <v>0</v>
      </c>
      <c r="W127">
        <f t="shared" si="115"/>
        <v>0</v>
      </c>
      <c r="X127">
        <f t="shared" si="116"/>
        <v>65.11</v>
      </c>
      <c r="Y127">
        <f t="shared" si="117"/>
        <v>9.3000000000000007</v>
      </c>
      <c r="AA127">
        <v>1407491423</v>
      </c>
      <c r="AB127">
        <f t="shared" si="118"/>
        <v>1738.52</v>
      </c>
      <c r="AC127">
        <f>ROUND(((ES127*4)),6)</f>
        <v>0</v>
      </c>
      <c r="AD127">
        <f>ROUND(((((ET127*4))-((EU127*4)))+AE127),6)</f>
        <v>0</v>
      </c>
      <c r="AE127">
        <f>ROUND(((EU127*4)),6)</f>
        <v>0</v>
      </c>
      <c r="AF127">
        <f>ROUND(((EV127*4)),6)</f>
        <v>1738.52</v>
      </c>
      <c r="AG127">
        <f t="shared" si="120"/>
        <v>0</v>
      </c>
      <c r="AH127">
        <f>((EW127*4))</f>
        <v>3.6</v>
      </c>
      <c r="AI127">
        <f>((EX127*4))</f>
        <v>0</v>
      </c>
      <c r="AJ127">
        <f t="shared" si="122"/>
        <v>0</v>
      </c>
      <c r="AK127">
        <v>434.63</v>
      </c>
      <c r="AL127">
        <v>0</v>
      </c>
      <c r="AM127">
        <v>0</v>
      </c>
      <c r="AN127">
        <v>0</v>
      </c>
      <c r="AO127">
        <v>434.63</v>
      </c>
      <c r="AP127">
        <v>0</v>
      </c>
      <c r="AQ127">
        <v>0.9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19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23"/>
        <v>93.01</v>
      </c>
      <c r="CQ127">
        <f t="shared" si="124"/>
        <v>0</v>
      </c>
      <c r="CR127">
        <f>(((((ET127*4))*BB127-((EU127*4))*BS127)+AE127*BS127)*AV127)</f>
        <v>0</v>
      </c>
      <c r="CS127">
        <f t="shared" si="125"/>
        <v>0</v>
      </c>
      <c r="CT127">
        <f t="shared" si="126"/>
        <v>1738.52</v>
      </c>
      <c r="CU127">
        <f t="shared" si="127"/>
        <v>0</v>
      </c>
      <c r="CV127">
        <f t="shared" si="128"/>
        <v>3.6</v>
      </c>
      <c r="CW127">
        <f t="shared" si="129"/>
        <v>0</v>
      </c>
      <c r="CX127">
        <f t="shared" si="130"/>
        <v>0</v>
      </c>
      <c r="CY127">
        <f t="shared" si="131"/>
        <v>65.107000000000014</v>
      </c>
      <c r="CZ127">
        <f t="shared" si="132"/>
        <v>9.3010000000000002</v>
      </c>
      <c r="DC127" t="s">
        <v>3</v>
      </c>
      <c r="DD127" t="s">
        <v>20</v>
      </c>
      <c r="DE127" t="s">
        <v>20</v>
      </c>
      <c r="DF127" t="s">
        <v>20</v>
      </c>
      <c r="DG127" t="s">
        <v>20</v>
      </c>
      <c r="DH127" t="s">
        <v>3</v>
      </c>
      <c r="DI127" t="s">
        <v>20</v>
      </c>
      <c r="DJ127" t="s">
        <v>20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1003</v>
      </c>
      <c r="DV127" t="s">
        <v>18</v>
      </c>
      <c r="DW127" t="s">
        <v>18</v>
      </c>
      <c r="DX127">
        <v>100</v>
      </c>
      <c r="DZ127" t="s">
        <v>3</v>
      </c>
      <c r="EA127" t="s">
        <v>3</v>
      </c>
      <c r="EB127" t="s">
        <v>3</v>
      </c>
      <c r="EC127" t="s">
        <v>3</v>
      </c>
      <c r="EE127">
        <v>1364533919</v>
      </c>
      <c r="EF127">
        <v>1</v>
      </c>
      <c r="EG127" t="s">
        <v>21</v>
      </c>
      <c r="EH127">
        <v>0</v>
      </c>
      <c r="EI127" t="s">
        <v>3</v>
      </c>
      <c r="EJ127">
        <v>4</v>
      </c>
      <c r="EK127">
        <v>0</v>
      </c>
      <c r="EL127" t="s">
        <v>22</v>
      </c>
      <c r="EM127" t="s">
        <v>23</v>
      </c>
      <c r="EO127" t="s">
        <v>3</v>
      </c>
      <c r="EQ127">
        <v>0</v>
      </c>
      <c r="ER127">
        <v>434.63</v>
      </c>
      <c r="ES127">
        <v>0</v>
      </c>
      <c r="ET127">
        <v>0</v>
      </c>
      <c r="EU127">
        <v>0</v>
      </c>
      <c r="EV127">
        <v>434.63</v>
      </c>
      <c r="EW127">
        <v>0.9</v>
      </c>
      <c r="EX127">
        <v>0</v>
      </c>
      <c r="EY127">
        <v>0</v>
      </c>
      <c r="FQ127">
        <v>0</v>
      </c>
      <c r="FR127">
        <f t="shared" si="133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527005660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34"/>
        <v>0</v>
      </c>
      <c r="GM127">
        <f t="shared" si="135"/>
        <v>167.42</v>
      </c>
      <c r="GN127">
        <f t="shared" si="136"/>
        <v>0</v>
      </c>
      <c r="GO127">
        <f t="shared" si="137"/>
        <v>0</v>
      </c>
      <c r="GP127">
        <f t="shared" si="138"/>
        <v>167.42</v>
      </c>
      <c r="GR127">
        <v>0</v>
      </c>
      <c r="GS127">
        <v>3</v>
      </c>
      <c r="GT127">
        <v>0</v>
      </c>
      <c r="GU127" t="s">
        <v>3</v>
      </c>
      <c r="GV127">
        <f t="shared" si="139"/>
        <v>0</v>
      </c>
      <c r="GW127">
        <v>1</v>
      </c>
      <c r="GX127">
        <f t="shared" si="140"/>
        <v>0</v>
      </c>
      <c r="HA127">
        <v>0</v>
      </c>
      <c r="HB127">
        <v>0</v>
      </c>
      <c r="HC127">
        <f t="shared" si="141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ROW(EtalonRes!A66)</f>
        <v>66</v>
      </c>
      <c r="E128" t="s">
        <v>176</v>
      </c>
      <c r="F128" t="s">
        <v>25</v>
      </c>
      <c r="G128" t="s">
        <v>26</v>
      </c>
      <c r="H128" t="s">
        <v>18</v>
      </c>
      <c r="I128">
        <f>ROUND((214)*0.75*0.1/100,9)</f>
        <v>0.1605</v>
      </c>
      <c r="J128">
        <v>0</v>
      </c>
      <c r="K128">
        <f>ROUND((214)*0.75*0.1/100,9)</f>
        <v>0.1605</v>
      </c>
      <c r="O128">
        <f t="shared" si="107"/>
        <v>818.49</v>
      </c>
      <c r="P128">
        <f t="shared" si="108"/>
        <v>0</v>
      </c>
      <c r="Q128">
        <f t="shared" si="109"/>
        <v>0</v>
      </c>
      <c r="R128">
        <f t="shared" si="110"/>
        <v>0</v>
      </c>
      <c r="S128">
        <f t="shared" si="111"/>
        <v>818.49</v>
      </c>
      <c r="T128">
        <f t="shared" si="112"/>
        <v>0</v>
      </c>
      <c r="U128">
        <f t="shared" si="113"/>
        <v>1.6948800000000002</v>
      </c>
      <c r="V128">
        <f t="shared" si="114"/>
        <v>0</v>
      </c>
      <c r="W128">
        <f t="shared" si="115"/>
        <v>0</v>
      </c>
      <c r="X128">
        <f t="shared" si="116"/>
        <v>572.94000000000005</v>
      </c>
      <c r="Y128">
        <f t="shared" si="117"/>
        <v>81.849999999999994</v>
      </c>
      <c r="AA128">
        <v>1407491423</v>
      </c>
      <c r="AB128">
        <f t="shared" si="118"/>
        <v>5099.6000000000004</v>
      </c>
      <c r="AC128">
        <f>ROUND(((ES128*4)),6)</f>
        <v>0</v>
      </c>
      <c r="AD128">
        <f>ROUND(((((ET128*4))-((EU128*4)))+AE128),6)</f>
        <v>0</v>
      </c>
      <c r="AE128">
        <f>ROUND(((EU128*4)),6)</f>
        <v>0</v>
      </c>
      <c r="AF128">
        <f>ROUND(((EV128*4)),6)</f>
        <v>5099.6000000000004</v>
      </c>
      <c r="AG128">
        <f t="shared" si="120"/>
        <v>0</v>
      </c>
      <c r="AH128">
        <f>((EW128*4))</f>
        <v>10.56</v>
      </c>
      <c r="AI128">
        <f>((EX128*4))</f>
        <v>0</v>
      </c>
      <c r="AJ128">
        <f t="shared" si="122"/>
        <v>0</v>
      </c>
      <c r="AK128">
        <v>1274.9000000000001</v>
      </c>
      <c r="AL128">
        <v>0</v>
      </c>
      <c r="AM128">
        <v>0</v>
      </c>
      <c r="AN128">
        <v>0</v>
      </c>
      <c r="AO128">
        <v>1274.9000000000001</v>
      </c>
      <c r="AP128">
        <v>0</v>
      </c>
      <c r="AQ128">
        <v>2.64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27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23"/>
        <v>818.49</v>
      </c>
      <c r="CQ128">
        <f t="shared" si="124"/>
        <v>0</v>
      </c>
      <c r="CR128">
        <f>(((((ET128*4))*BB128-((EU128*4))*BS128)+AE128*BS128)*AV128)</f>
        <v>0</v>
      </c>
      <c r="CS128">
        <f t="shared" si="125"/>
        <v>0</v>
      </c>
      <c r="CT128">
        <f t="shared" si="126"/>
        <v>5099.6000000000004</v>
      </c>
      <c r="CU128">
        <f t="shared" si="127"/>
        <v>0</v>
      </c>
      <c r="CV128">
        <f t="shared" si="128"/>
        <v>10.56</v>
      </c>
      <c r="CW128">
        <f t="shared" si="129"/>
        <v>0</v>
      </c>
      <c r="CX128">
        <f t="shared" si="130"/>
        <v>0</v>
      </c>
      <c r="CY128">
        <f t="shared" si="131"/>
        <v>572.94299999999998</v>
      </c>
      <c r="CZ128">
        <f t="shared" si="132"/>
        <v>81.84899999999999</v>
      </c>
      <c r="DC128" t="s">
        <v>3</v>
      </c>
      <c r="DD128" t="s">
        <v>20</v>
      </c>
      <c r="DE128" t="s">
        <v>20</v>
      </c>
      <c r="DF128" t="s">
        <v>20</v>
      </c>
      <c r="DG128" t="s">
        <v>20</v>
      </c>
      <c r="DH128" t="s">
        <v>3</v>
      </c>
      <c r="DI128" t="s">
        <v>20</v>
      </c>
      <c r="DJ128" t="s">
        <v>20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1003</v>
      </c>
      <c r="DV128" t="s">
        <v>18</v>
      </c>
      <c r="DW128" t="s">
        <v>18</v>
      </c>
      <c r="DX128">
        <v>100</v>
      </c>
      <c r="DZ128" t="s">
        <v>3</v>
      </c>
      <c r="EA128" t="s">
        <v>3</v>
      </c>
      <c r="EB128" t="s">
        <v>3</v>
      </c>
      <c r="EC128" t="s">
        <v>3</v>
      </c>
      <c r="EE128">
        <v>1364533919</v>
      </c>
      <c r="EF128">
        <v>1</v>
      </c>
      <c r="EG128" t="s">
        <v>21</v>
      </c>
      <c r="EH128">
        <v>0</v>
      </c>
      <c r="EI128" t="s">
        <v>3</v>
      </c>
      <c r="EJ128">
        <v>4</v>
      </c>
      <c r="EK128">
        <v>0</v>
      </c>
      <c r="EL128" t="s">
        <v>22</v>
      </c>
      <c r="EM128" t="s">
        <v>23</v>
      </c>
      <c r="EO128" t="s">
        <v>3</v>
      </c>
      <c r="EQ128">
        <v>0</v>
      </c>
      <c r="ER128">
        <v>1274.9000000000001</v>
      </c>
      <c r="ES128">
        <v>0</v>
      </c>
      <c r="ET128">
        <v>0</v>
      </c>
      <c r="EU128">
        <v>0</v>
      </c>
      <c r="EV128">
        <v>1274.9000000000001</v>
      </c>
      <c r="EW128">
        <v>2.64</v>
      </c>
      <c r="EX128">
        <v>0</v>
      </c>
      <c r="EY128">
        <v>0</v>
      </c>
      <c r="FQ128">
        <v>0</v>
      </c>
      <c r="FR128">
        <f t="shared" si="133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-1003523402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34"/>
        <v>0</v>
      </c>
      <c r="GM128">
        <f t="shared" si="135"/>
        <v>1473.28</v>
      </c>
      <c r="GN128">
        <f t="shared" si="136"/>
        <v>0</v>
      </c>
      <c r="GO128">
        <f t="shared" si="137"/>
        <v>0</v>
      </c>
      <c r="GP128">
        <f t="shared" si="138"/>
        <v>1473.28</v>
      </c>
      <c r="GR128">
        <v>0</v>
      </c>
      <c r="GS128">
        <v>3</v>
      </c>
      <c r="GT128">
        <v>0</v>
      </c>
      <c r="GU128" t="s">
        <v>3</v>
      </c>
      <c r="GV128">
        <f t="shared" si="139"/>
        <v>0</v>
      </c>
      <c r="GW128">
        <v>1</v>
      </c>
      <c r="GX128">
        <f t="shared" si="140"/>
        <v>0</v>
      </c>
      <c r="HA128">
        <v>0</v>
      </c>
      <c r="HB128">
        <v>0</v>
      </c>
      <c r="HC128">
        <f t="shared" si="141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ROW(EtalonRes!A70)</f>
        <v>70</v>
      </c>
      <c r="E129" t="s">
        <v>3</v>
      </c>
      <c r="F129" t="s">
        <v>177</v>
      </c>
      <c r="G129" t="s">
        <v>178</v>
      </c>
      <c r="H129" t="s">
        <v>18</v>
      </c>
      <c r="I129">
        <f>ROUND(214*0.1/100,9)</f>
        <v>0.214</v>
      </c>
      <c r="J129">
        <v>0</v>
      </c>
      <c r="K129">
        <f>ROUND(214*0.1/100,9)</f>
        <v>0.214</v>
      </c>
      <c r="O129">
        <f t="shared" si="107"/>
        <v>3191.84</v>
      </c>
      <c r="P129">
        <f t="shared" si="108"/>
        <v>585.27</v>
      </c>
      <c r="Q129">
        <f t="shared" si="109"/>
        <v>0</v>
      </c>
      <c r="R129">
        <f t="shared" si="110"/>
        <v>0</v>
      </c>
      <c r="S129">
        <f t="shared" si="111"/>
        <v>2606.5700000000002</v>
      </c>
      <c r="T129">
        <f t="shared" si="112"/>
        <v>0</v>
      </c>
      <c r="U129">
        <f t="shared" si="113"/>
        <v>6.3215599999999998</v>
      </c>
      <c r="V129">
        <f t="shared" si="114"/>
        <v>0</v>
      </c>
      <c r="W129">
        <f t="shared" si="115"/>
        <v>0</v>
      </c>
      <c r="X129">
        <f t="shared" si="116"/>
        <v>1824.6</v>
      </c>
      <c r="Y129">
        <f t="shared" si="117"/>
        <v>260.66000000000003</v>
      </c>
      <c r="AA129">
        <v>-1</v>
      </c>
      <c r="AB129">
        <f t="shared" si="118"/>
        <v>14915.12</v>
      </c>
      <c r="AC129">
        <f>ROUND((ES129),6)</f>
        <v>2734.89</v>
      </c>
      <c r="AD129">
        <f>ROUND((((ET129)-(EU129))+AE129),6)</f>
        <v>0</v>
      </c>
      <c r="AE129">
        <f t="shared" ref="AE129:AF131" si="144">ROUND((EU129),6)</f>
        <v>0</v>
      </c>
      <c r="AF129">
        <f t="shared" si="144"/>
        <v>12180.23</v>
      </c>
      <c r="AG129">
        <f t="shared" si="120"/>
        <v>0</v>
      </c>
      <c r="AH129">
        <f t="shared" ref="AH129:AI131" si="145">(EW129)</f>
        <v>29.54</v>
      </c>
      <c r="AI129">
        <f t="shared" si="145"/>
        <v>0</v>
      </c>
      <c r="AJ129">
        <f t="shared" si="122"/>
        <v>0</v>
      </c>
      <c r="AK129">
        <v>14915.12</v>
      </c>
      <c r="AL129">
        <v>2734.89</v>
      </c>
      <c r="AM129">
        <v>0</v>
      </c>
      <c r="AN129">
        <v>0</v>
      </c>
      <c r="AO129">
        <v>12180.23</v>
      </c>
      <c r="AP129">
        <v>0</v>
      </c>
      <c r="AQ129">
        <v>29.54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179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23"/>
        <v>3191.84</v>
      </c>
      <c r="CQ129">
        <f t="shared" si="124"/>
        <v>2734.89</v>
      </c>
      <c r="CR129">
        <f>((((ET129)*BB129-(EU129)*BS129)+AE129*BS129)*AV129)</f>
        <v>0</v>
      </c>
      <c r="CS129">
        <f t="shared" si="125"/>
        <v>0</v>
      </c>
      <c r="CT129">
        <f t="shared" si="126"/>
        <v>12180.23</v>
      </c>
      <c r="CU129">
        <f t="shared" si="127"/>
        <v>0</v>
      </c>
      <c r="CV129">
        <f t="shared" si="128"/>
        <v>29.54</v>
      </c>
      <c r="CW129">
        <f t="shared" si="129"/>
        <v>0</v>
      </c>
      <c r="CX129">
        <f t="shared" si="130"/>
        <v>0</v>
      </c>
      <c r="CY129">
        <f t="shared" si="131"/>
        <v>1824.5990000000002</v>
      </c>
      <c r="CZ129">
        <f t="shared" si="132"/>
        <v>260.65699999999998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1003</v>
      </c>
      <c r="DV129" t="s">
        <v>18</v>
      </c>
      <c r="DW129" t="s">
        <v>18</v>
      </c>
      <c r="DX129">
        <v>100</v>
      </c>
      <c r="DZ129" t="s">
        <v>3</v>
      </c>
      <c r="EA129" t="s">
        <v>3</v>
      </c>
      <c r="EB129" t="s">
        <v>3</v>
      </c>
      <c r="EC129" t="s">
        <v>3</v>
      </c>
      <c r="EE129">
        <v>1364533919</v>
      </c>
      <c r="EF129">
        <v>1</v>
      </c>
      <c r="EG129" t="s">
        <v>21</v>
      </c>
      <c r="EH129">
        <v>0</v>
      </c>
      <c r="EI129" t="s">
        <v>3</v>
      </c>
      <c r="EJ129">
        <v>4</v>
      </c>
      <c r="EK129">
        <v>0</v>
      </c>
      <c r="EL129" t="s">
        <v>22</v>
      </c>
      <c r="EM129" t="s">
        <v>23</v>
      </c>
      <c r="EO129" t="s">
        <v>3</v>
      </c>
      <c r="EQ129">
        <v>1311744</v>
      </c>
      <c r="ER129">
        <v>14915.12</v>
      </c>
      <c r="ES129">
        <v>2734.89</v>
      </c>
      <c r="ET129">
        <v>0</v>
      </c>
      <c r="EU129">
        <v>0</v>
      </c>
      <c r="EV129">
        <v>12180.23</v>
      </c>
      <c r="EW129">
        <v>29.54</v>
      </c>
      <c r="EX129">
        <v>0</v>
      </c>
      <c r="EY129">
        <v>0</v>
      </c>
      <c r="FQ129">
        <v>0</v>
      </c>
      <c r="FR129">
        <f t="shared" si="133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1475357317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34"/>
        <v>0</v>
      </c>
      <c r="GM129">
        <f t="shared" si="135"/>
        <v>5277.1</v>
      </c>
      <c r="GN129">
        <f t="shared" si="136"/>
        <v>0</v>
      </c>
      <c r="GO129">
        <f t="shared" si="137"/>
        <v>0</v>
      </c>
      <c r="GP129">
        <f t="shared" si="138"/>
        <v>5277.1</v>
      </c>
      <c r="GR129">
        <v>0</v>
      </c>
      <c r="GS129">
        <v>3</v>
      </c>
      <c r="GT129">
        <v>0</v>
      </c>
      <c r="GU129" t="s">
        <v>3</v>
      </c>
      <c r="GV129">
        <f t="shared" si="139"/>
        <v>0</v>
      </c>
      <c r="GW129">
        <v>1</v>
      </c>
      <c r="GX129">
        <f t="shared" si="140"/>
        <v>0</v>
      </c>
      <c r="HA129">
        <v>0</v>
      </c>
      <c r="HB129">
        <v>0</v>
      </c>
      <c r="HC129">
        <f t="shared" si="141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D130">
        <f>ROW(EtalonRes!A72)</f>
        <v>72</v>
      </c>
      <c r="E130" t="s">
        <v>180</v>
      </c>
      <c r="F130" t="s">
        <v>172</v>
      </c>
      <c r="G130" t="s">
        <v>181</v>
      </c>
      <c r="H130" t="s">
        <v>149</v>
      </c>
      <c r="I130">
        <f>ROUND(27/100,9)</f>
        <v>0.27</v>
      </c>
      <c r="J130">
        <v>0</v>
      </c>
      <c r="K130">
        <f>ROUND(27/100,9)</f>
        <v>0.27</v>
      </c>
      <c r="O130">
        <f t="shared" si="107"/>
        <v>3411.44</v>
      </c>
      <c r="P130">
        <f t="shared" si="108"/>
        <v>117.54</v>
      </c>
      <c r="Q130">
        <f t="shared" si="109"/>
        <v>0</v>
      </c>
      <c r="R130">
        <f t="shared" si="110"/>
        <v>0</v>
      </c>
      <c r="S130">
        <f t="shared" si="111"/>
        <v>3293.9</v>
      </c>
      <c r="T130">
        <f t="shared" si="112"/>
        <v>0</v>
      </c>
      <c r="U130">
        <f t="shared" si="113"/>
        <v>7.5654000000000003</v>
      </c>
      <c r="V130">
        <f t="shared" si="114"/>
        <v>0</v>
      </c>
      <c r="W130">
        <f t="shared" si="115"/>
        <v>0</v>
      </c>
      <c r="X130">
        <f t="shared" si="116"/>
        <v>2305.73</v>
      </c>
      <c r="Y130">
        <f t="shared" si="117"/>
        <v>329.39</v>
      </c>
      <c r="AA130">
        <v>1407491423</v>
      </c>
      <c r="AB130">
        <f t="shared" si="118"/>
        <v>12634.97</v>
      </c>
      <c r="AC130">
        <f>ROUND((ES130),6)</f>
        <v>435.34</v>
      </c>
      <c r="AD130">
        <f>ROUND((((ET130)-(EU130))+AE130),6)</f>
        <v>0</v>
      </c>
      <c r="AE130">
        <f t="shared" si="144"/>
        <v>0</v>
      </c>
      <c r="AF130">
        <f t="shared" si="144"/>
        <v>12199.63</v>
      </c>
      <c r="AG130">
        <f t="shared" si="120"/>
        <v>0</v>
      </c>
      <c r="AH130">
        <f t="shared" si="145"/>
        <v>28.02</v>
      </c>
      <c r="AI130">
        <f t="shared" si="145"/>
        <v>0</v>
      </c>
      <c r="AJ130">
        <f t="shared" si="122"/>
        <v>0</v>
      </c>
      <c r="AK130">
        <v>12634.97</v>
      </c>
      <c r="AL130">
        <v>435.34</v>
      </c>
      <c r="AM130">
        <v>0</v>
      </c>
      <c r="AN130">
        <v>0</v>
      </c>
      <c r="AO130">
        <v>12199.63</v>
      </c>
      <c r="AP130">
        <v>0</v>
      </c>
      <c r="AQ130">
        <v>28.02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174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23"/>
        <v>3411.44</v>
      </c>
      <c r="CQ130">
        <f t="shared" si="124"/>
        <v>435.34</v>
      </c>
      <c r="CR130">
        <f>((((ET130)*BB130-(EU130)*BS130)+AE130*BS130)*AV130)</f>
        <v>0</v>
      </c>
      <c r="CS130">
        <f t="shared" si="125"/>
        <v>0</v>
      </c>
      <c r="CT130">
        <f t="shared" si="126"/>
        <v>12199.63</v>
      </c>
      <c r="CU130">
        <f t="shared" si="127"/>
        <v>0</v>
      </c>
      <c r="CV130">
        <f t="shared" si="128"/>
        <v>28.02</v>
      </c>
      <c r="CW130">
        <f t="shared" si="129"/>
        <v>0</v>
      </c>
      <c r="CX130">
        <f t="shared" si="130"/>
        <v>0</v>
      </c>
      <c r="CY130">
        <f t="shared" si="131"/>
        <v>2305.73</v>
      </c>
      <c r="CZ130">
        <f t="shared" si="132"/>
        <v>329.39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16987630</v>
      </c>
      <c r="DV130" t="s">
        <v>149</v>
      </c>
      <c r="DW130" t="s">
        <v>149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1364533919</v>
      </c>
      <c r="EF130">
        <v>1</v>
      </c>
      <c r="EG130" t="s">
        <v>21</v>
      </c>
      <c r="EH130">
        <v>0</v>
      </c>
      <c r="EI130" t="s">
        <v>3</v>
      </c>
      <c r="EJ130">
        <v>4</v>
      </c>
      <c r="EK130">
        <v>0</v>
      </c>
      <c r="EL130" t="s">
        <v>22</v>
      </c>
      <c r="EM130" t="s">
        <v>23</v>
      </c>
      <c r="EO130" t="s">
        <v>3</v>
      </c>
      <c r="EQ130">
        <v>0</v>
      </c>
      <c r="ER130">
        <v>12634.97</v>
      </c>
      <c r="ES130">
        <v>435.34</v>
      </c>
      <c r="ET130">
        <v>0</v>
      </c>
      <c r="EU130">
        <v>0</v>
      </c>
      <c r="EV130">
        <v>12199.63</v>
      </c>
      <c r="EW130">
        <v>28.02</v>
      </c>
      <c r="EX130">
        <v>0</v>
      </c>
      <c r="EY130">
        <v>0</v>
      </c>
      <c r="FQ130">
        <v>0</v>
      </c>
      <c r="FR130">
        <f t="shared" si="133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-1389459455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34"/>
        <v>0</v>
      </c>
      <c r="GM130">
        <f t="shared" si="135"/>
        <v>6046.56</v>
      </c>
      <c r="GN130">
        <f t="shared" si="136"/>
        <v>0</v>
      </c>
      <c r="GO130">
        <f t="shared" si="137"/>
        <v>0</v>
      </c>
      <c r="GP130">
        <f t="shared" si="138"/>
        <v>6046.56</v>
      </c>
      <c r="GR130">
        <v>0</v>
      </c>
      <c r="GS130">
        <v>3</v>
      </c>
      <c r="GT130">
        <v>0</v>
      </c>
      <c r="GU130" t="s">
        <v>3</v>
      </c>
      <c r="GV130">
        <f t="shared" si="139"/>
        <v>0</v>
      </c>
      <c r="GW130">
        <v>1</v>
      </c>
      <c r="GX130">
        <f t="shared" si="140"/>
        <v>0</v>
      </c>
      <c r="HA130">
        <v>0</v>
      </c>
      <c r="HB130">
        <v>0</v>
      </c>
      <c r="HC130">
        <f t="shared" si="141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D131">
        <f>ROW(EtalonRes!A77)</f>
        <v>77</v>
      </c>
      <c r="E131" t="s">
        <v>3</v>
      </c>
      <c r="F131" t="s">
        <v>182</v>
      </c>
      <c r="G131" t="s">
        <v>183</v>
      </c>
      <c r="H131" t="s">
        <v>42</v>
      </c>
      <c r="I131">
        <v>1</v>
      </c>
      <c r="J131">
        <v>0</v>
      </c>
      <c r="K131">
        <v>1</v>
      </c>
      <c r="O131">
        <f t="shared" si="107"/>
        <v>9174.36</v>
      </c>
      <c r="P131">
        <f t="shared" si="108"/>
        <v>5869.49</v>
      </c>
      <c r="Q131">
        <f t="shared" si="109"/>
        <v>27.96</v>
      </c>
      <c r="R131">
        <f t="shared" si="110"/>
        <v>1.1100000000000001</v>
      </c>
      <c r="S131">
        <f t="shared" si="111"/>
        <v>3276.91</v>
      </c>
      <c r="T131">
        <f t="shared" si="112"/>
        <v>0</v>
      </c>
      <c r="U131">
        <f t="shared" si="113"/>
        <v>5.7</v>
      </c>
      <c r="V131">
        <f t="shared" si="114"/>
        <v>0</v>
      </c>
      <c r="W131">
        <f t="shared" si="115"/>
        <v>0</v>
      </c>
      <c r="X131">
        <f t="shared" si="116"/>
        <v>2293.84</v>
      </c>
      <c r="Y131">
        <f t="shared" si="117"/>
        <v>327.69</v>
      </c>
      <c r="AA131">
        <v>-1</v>
      </c>
      <c r="AB131">
        <f t="shared" si="118"/>
        <v>9174.36</v>
      </c>
      <c r="AC131">
        <f>ROUND((ES131),6)</f>
        <v>5869.49</v>
      </c>
      <c r="AD131">
        <f>ROUND((((ET131)-(EU131))+AE131),6)</f>
        <v>27.96</v>
      </c>
      <c r="AE131">
        <f t="shared" si="144"/>
        <v>1.1100000000000001</v>
      </c>
      <c r="AF131">
        <f t="shared" si="144"/>
        <v>3276.91</v>
      </c>
      <c r="AG131">
        <f t="shared" si="120"/>
        <v>0</v>
      </c>
      <c r="AH131">
        <f t="shared" si="145"/>
        <v>5.7</v>
      </c>
      <c r="AI131">
        <f t="shared" si="145"/>
        <v>0</v>
      </c>
      <c r="AJ131">
        <f t="shared" si="122"/>
        <v>0</v>
      </c>
      <c r="AK131">
        <v>9174.36</v>
      </c>
      <c r="AL131">
        <v>5869.49</v>
      </c>
      <c r="AM131">
        <v>27.96</v>
      </c>
      <c r="AN131">
        <v>1.1100000000000001</v>
      </c>
      <c r="AO131">
        <v>3276.91</v>
      </c>
      <c r="AP131">
        <v>0</v>
      </c>
      <c r="AQ131">
        <v>5.7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184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23"/>
        <v>9174.36</v>
      </c>
      <c r="CQ131">
        <f t="shared" si="124"/>
        <v>5869.49</v>
      </c>
      <c r="CR131">
        <f>((((ET131)*BB131-(EU131)*BS131)+AE131*BS131)*AV131)</f>
        <v>27.96</v>
      </c>
      <c r="CS131">
        <f t="shared" si="125"/>
        <v>1.1100000000000001</v>
      </c>
      <c r="CT131">
        <f t="shared" si="126"/>
        <v>3276.91</v>
      </c>
      <c r="CU131">
        <f t="shared" si="127"/>
        <v>0</v>
      </c>
      <c r="CV131">
        <f t="shared" si="128"/>
        <v>5.7</v>
      </c>
      <c r="CW131">
        <f t="shared" si="129"/>
        <v>0</v>
      </c>
      <c r="CX131">
        <f t="shared" si="130"/>
        <v>0</v>
      </c>
      <c r="CY131">
        <f t="shared" si="131"/>
        <v>2293.837</v>
      </c>
      <c r="CZ131">
        <f t="shared" si="132"/>
        <v>327.69099999999997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42</v>
      </c>
      <c r="DW131" t="s">
        <v>42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1364533919</v>
      </c>
      <c r="EF131">
        <v>1</v>
      </c>
      <c r="EG131" t="s">
        <v>21</v>
      </c>
      <c r="EH131">
        <v>0</v>
      </c>
      <c r="EI131" t="s">
        <v>3</v>
      </c>
      <c r="EJ131">
        <v>4</v>
      </c>
      <c r="EK131">
        <v>0</v>
      </c>
      <c r="EL131" t="s">
        <v>22</v>
      </c>
      <c r="EM131" t="s">
        <v>23</v>
      </c>
      <c r="EO131" t="s">
        <v>3</v>
      </c>
      <c r="EQ131">
        <v>1311744</v>
      </c>
      <c r="ER131">
        <v>9174.36</v>
      </c>
      <c r="ES131">
        <v>5869.49</v>
      </c>
      <c r="ET131">
        <v>27.96</v>
      </c>
      <c r="EU131">
        <v>1.1100000000000001</v>
      </c>
      <c r="EV131">
        <v>3276.91</v>
      </c>
      <c r="EW131">
        <v>5.7</v>
      </c>
      <c r="EX131">
        <v>0</v>
      </c>
      <c r="EY131">
        <v>0</v>
      </c>
      <c r="FQ131">
        <v>0</v>
      </c>
      <c r="FR131">
        <f t="shared" si="133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-1333646057</v>
      </c>
      <c r="GG131">
        <v>2</v>
      </c>
      <c r="GH131">
        <v>1</v>
      </c>
      <c r="GI131">
        <v>-2</v>
      </c>
      <c r="GJ131">
        <v>0</v>
      </c>
      <c r="GK131">
        <f>ROUND(R131*(R12)/100,2)</f>
        <v>1.2</v>
      </c>
      <c r="GL131">
        <f t="shared" si="134"/>
        <v>0</v>
      </c>
      <c r="GM131">
        <f t="shared" si="135"/>
        <v>11797.09</v>
      </c>
      <c r="GN131">
        <f t="shared" si="136"/>
        <v>0</v>
      </c>
      <c r="GO131">
        <f t="shared" si="137"/>
        <v>0</v>
      </c>
      <c r="GP131">
        <f t="shared" si="138"/>
        <v>11797.09</v>
      </c>
      <c r="GR131">
        <v>0</v>
      </c>
      <c r="GS131">
        <v>3</v>
      </c>
      <c r="GT131">
        <v>0</v>
      </c>
      <c r="GU131" t="s">
        <v>3</v>
      </c>
      <c r="GV131">
        <f t="shared" si="139"/>
        <v>0</v>
      </c>
      <c r="GW131">
        <v>1</v>
      </c>
      <c r="GX131">
        <f t="shared" si="140"/>
        <v>0</v>
      </c>
      <c r="HA131">
        <v>0</v>
      </c>
      <c r="HB131">
        <v>0</v>
      </c>
      <c r="HC131">
        <f t="shared" si="141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D132">
        <f>ROW(EtalonRes!A79)</f>
        <v>79</v>
      </c>
      <c r="E132" t="s">
        <v>3</v>
      </c>
      <c r="F132" t="s">
        <v>185</v>
      </c>
      <c r="G132" t="s">
        <v>186</v>
      </c>
      <c r="H132" t="s">
        <v>42</v>
      </c>
      <c r="I132">
        <v>1</v>
      </c>
      <c r="J132">
        <v>0</v>
      </c>
      <c r="K132">
        <v>1</v>
      </c>
      <c r="O132">
        <f t="shared" si="107"/>
        <v>12326.13</v>
      </c>
      <c r="P132">
        <f t="shared" si="108"/>
        <v>156.54</v>
      </c>
      <c r="Q132">
        <f t="shared" si="109"/>
        <v>0</v>
      </c>
      <c r="R132">
        <f t="shared" si="110"/>
        <v>0</v>
      </c>
      <c r="S132">
        <f t="shared" si="111"/>
        <v>12169.59</v>
      </c>
      <c r="T132">
        <f t="shared" si="112"/>
        <v>0</v>
      </c>
      <c r="U132">
        <f t="shared" si="113"/>
        <v>25.200000000000003</v>
      </c>
      <c r="V132">
        <f t="shared" si="114"/>
        <v>0</v>
      </c>
      <c r="W132">
        <f t="shared" si="115"/>
        <v>0</v>
      </c>
      <c r="X132">
        <f t="shared" si="116"/>
        <v>8518.7099999999991</v>
      </c>
      <c r="Y132">
        <f t="shared" si="117"/>
        <v>1216.96</v>
      </c>
      <c r="AA132">
        <v>-1</v>
      </c>
      <c r="AB132">
        <f t="shared" si="118"/>
        <v>12326.13</v>
      </c>
      <c r="AC132">
        <f>ROUND(((ES132*3)),6)</f>
        <v>156.54</v>
      </c>
      <c r="AD132">
        <f>ROUND(((((ET132*3))-((EU132*3)))+AE132),6)</f>
        <v>0</v>
      </c>
      <c r="AE132">
        <f>ROUND(((EU132*3)),6)</f>
        <v>0</v>
      </c>
      <c r="AF132">
        <f>ROUND(((EV132*3)),6)</f>
        <v>12169.59</v>
      </c>
      <c r="AG132">
        <f t="shared" si="120"/>
        <v>0</v>
      </c>
      <c r="AH132">
        <f>((EW132*3))</f>
        <v>25.200000000000003</v>
      </c>
      <c r="AI132">
        <f>((EX132*3))</f>
        <v>0</v>
      </c>
      <c r="AJ132">
        <f t="shared" si="122"/>
        <v>0</v>
      </c>
      <c r="AK132">
        <v>4108.71</v>
      </c>
      <c r="AL132">
        <v>52.18</v>
      </c>
      <c r="AM132">
        <v>0</v>
      </c>
      <c r="AN132">
        <v>0</v>
      </c>
      <c r="AO132">
        <v>4056.53</v>
      </c>
      <c r="AP132">
        <v>0</v>
      </c>
      <c r="AQ132">
        <v>8.4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187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23"/>
        <v>12326.130000000001</v>
      </c>
      <c r="CQ132">
        <f t="shared" si="124"/>
        <v>156.54</v>
      </c>
      <c r="CR132">
        <f>(((((ET132*3))*BB132-((EU132*3))*BS132)+AE132*BS132)*AV132)</f>
        <v>0</v>
      </c>
      <c r="CS132">
        <f t="shared" si="125"/>
        <v>0</v>
      </c>
      <c r="CT132">
        <f t="shared" si="126"/>
        <v>12169.59</v>
      </c>
      <c r="CU132">
        <f t="shared" si="127"/>
        <v>0</v>
      </c>
      <c r="CV132">
        <f t="shared" si="128"/>
        <v>25.200000000000003</v>
      </c>
      <c r="CW132">
        <f t="shared" si="129"/>
        <v>0</v>
      </c>
      <c r="CX132">
        <f t="shared" si="130"/>
        <v>0</v>
      </c>
      <c r="CY132">
        <f t="shared" si="131"/>
        <v>8518.7129999999997</v>
      </c>
      <c r="CZ132">
        <f t="shared" si="132"/>
        <v>1216.9589999999998</v>
      </c>
      <c r="DC132" t="s">
        <v>3</v>
      </c>
      <c r="DD132" t="s">
        <v>69</v>
      </c>
      <c r="DE132" t="s">
        <v>69</v>
      </c>
      <c r="DF132" t="s">
        <v>69</v>
      </c>
      <c r="DG132" t="s">
        <v>69</v>
      </c>
      <c r="DH132" t="s">
        <v>3</v>
      </c>
      <c r="DI132" t="s">
        <v>69</v>
      </c>
      <c r="DJ132" t="s">
        <v>69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16987630</v>
      </c>
      <c r="DV132" t="s">
        <v>42</v>
      </c>
      <c r="DW132" t="s">
        <v>42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1364533919</v>
      </c>
      <c r="EF132">
        <v>1</v>
      </c>
      <c r="EG132" t="s">
        <v>21</v>
      </c>
      <c r="EH132">
        <v>0</v>
      </c>
      <c r="EI132" t="s">
        <v>3</v>
      </c>
      <c r="EJ132">
        <v>4</v>
      </c>
      <c r="EK132">
        <v>0</v>
      </c>
      <c r="EL132" t="s">
        <v>22</v>
      </c>
      <c r="EM132" t="s">
        <v>23</v>
      </c>
      <c r="EO132" t="s">
        <v>3</v>
      </c>
      <c r="EQ132">
        <v>1311744</v>
      </c>
      <c r="ER132">
        <v>4108.71</v>
      </c>
      <c r="ES132">
        <v>52.18</v>
      </c>
      <c r="ET132">
        <v>0</v>
      </c>
      <c r="EU132">
        <v>0</v>
      </c>
      <c r="EV132">
        <v>4056.53</v>
      </c>
      <c r="EW132">
        <v>8.4</v>
      </c>
      <c r="EX132">
        <v>0</v>
      </c>
      <c r="EY132">
        <v>0</v>
      </c>
      <c r="FQ132">
        <v>0</v>
      </c>
      <c r="FR132">
        <f t="shared" si="133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1733859183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</v>
      </c>
      <c r="GL132">
        <f t="shared" si="134"/>
        <v>0</v>
      </c>
      <c r="GM132">
        <f t="shared" si="135"/>
        <v>22061.8</v>
      </c>
      <c r="GN132">
        <f t="shared" si="136"/>
        <v>0</v>
      </c>
      <c r="GO132">
        <f t="shared" si="137"/>
        <v>0</v>
      </c>
      <c r="GP132">
        <f t="shared" si="138"/>
        <v>22061.8</v>
      </c>
      <c r="GR132">
        <v>0</v>
      </c>
      <c r="GS132">
        <v>3</v>
      </c>
      <c r="GT132">
        <v>0</v>
      </c>
      <c r="GU132" t="s">
        <v>3</v>
      </c>
      <c r="GV132">
        <f t="shared" si="139"/>
        <v>0</v>
      </c>
      <c r="GW132">
        <v>1</v>
      </c>
      <c r="GX132">
        <f t="shared" si="140"/>
        <v>0</v>
      </c>
      <c r="HA132">
        <v>0</v>
      </c>
      <c r="HB132">
        <v>0</v>
      </c>
      <c r="HC132">
        <f t="shared" si="141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ROW(EtalonRes!A80)</f>
        <v>80</v>
      </c>
      <c r="E133" t="s">
        <v>188</v>
      </c>
      <c r="F133" t="s">
        <v>189</v>
      </c>
      <c r="G133" t="s">
        <v>190</v>
      </c>
      <c r="H133" t="s">
        <v>42</v>
      </c>
      <c r="I133">
        <v>1</v>
      </c>
      <c r="J133">
        <v>0</v>
      </c>
      <c r="K133">
        <v>1</v>
      </c>
      <c r="O133">
        <f t="shared" si="107"/>
        <v>581.46</v>
      </c>
      <c r="P133">
        <f t="shared" si="108"/>
        <v>0</v>
      </c>
      <c r="Q133">
        <f t="shared" si="109"/>
        <v>0</v>
      </c>
      <c r="R133">
        <f t="shared" si="110"/>
        <v>0</v>
      </c>
      <c r="S133">
        <f t="shared" si="111"/>
        <v>581.46</v>
      </c>
      <c r="T133">
        <f t="shared" si="112"/>
        <v>0</v>
      </c>
      <c r="U133">
        <f t="shared" si="113"/>
        <v>1.02</v>
      </c>
      <c r="V133">
        <f t="shared" si="114"/>
        <v>0</v>
      </c>
      <c r="W133">
        <f t="shared" si="115"/>
        <v>0</v>
      </c>
      <c r="X133">
        <f t="shared" si="116"/>
        <v>407.02</v>
      </c>
      <c r="Y133">
        <f t="shared" si="117"/>
        <v>58.15</v>
      </c>
      <c r="AA133">
        <v>1407491423</v>
      </c>
      <c r="AB133">
        <f t="shared" si="118"/>
        <v>581.46</v>
      </c>
      <c r="AC133">
        <f>ROUND(((ES133*3)),6)</f>
        <v>0</v>
      </c>
      <c r="AD133">
        <f>ROUND(((((ET133*3))-((EU133*3)))+AE133),6)</f>
        <v>0</v>
      </c>
      <c r="AE133">
        <f>ROUND(((EU133*3)),6)</f>
        <v>0</v>
      </c>
      <c r="AF133">
        <f>ROUND(((EV133*3)),6)</f>
        <v>581.46</v>
      </c>
      <c r="AG133">
        <f t="shared" si="120"/>
        <v>0</v>
      </c>
      <c r="AH133">
        <f>((EW133*3))</f>
        <v>1.02</v>
      </c>
      <c r="AI133">
        <f>((EX133*3))</f>
        <v>0</v>
      </c>
      <c r="AJ133">
        <f t="shared" si="122"/>
        <v>0</v>
      </c>
      <c r="AK133">
        <v>193.82</v>
      </c>
      <c r="AL133">
        <v>0</v>
      </c>
      <c r="AM133">
        <v>0</v>
      </c>
      <c r="AN133">
        <v>0</v>
      </c>
      <c r="AO133">
        <v>193.82</v>
      </c>
      <c r="AP133">
        <v>0</v>
      </c>
      <c r="AQ133">
        <v>0.34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191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23"/>
        <v>581.46</v>
      </c>
      <c r="CQ133">
        <f t="shared" si="124"/>
        <v>0</v>
      </c>
      <c r="CR133">
        <f>(((((ET133*3))*BB133-((EU133*3))*BS133)+AE133*BS133)*AV133)</f>
        <v>0</v>
      </c>
      <c r="CS133">
        <f t="shared" si="125"/>
        <v>0</v>
      </c>
      <c r="CT133">
        <f t="shared" si="126"/>
        <v>581.46</v>
      </c>
      <c r="CU133">
        <f t="shared" si="127"/>
        <v>0</v>
      </c>
      <c r="CV133">
        <f t="shared" si="128"/>
        <v>1.02</v>
      </c>
      <c r="CW133">
        <f t="shared" si="129"/>
        <v>0</v>
      </c>
      <c r="CX133">
        <f t="shared" si="130"/>
        <v>0</v>
      </c>
      <c r="CY133">
        <f t="shared" si="131"/>
        <v>407.02200000000005</v>
      </c>
      <c r="CZ133">
        <f t="shared" si="132"/>
        <v>58.146000000000001</v>
      </c>
      <c r="DC133" t="s">
        <v>3</v>
      </c>
      <c r="DD133" t="s">
        <v>69</v>
      </c>
      <c r="DE133" t="s">
        <v>69</v>
      </c>
      <c r="DF133" t="s">
        <v>69</v>
      </c>
      <c r="DG133" t="s">
        <v>69</v>
      </c>
      <c r="DH133" t="s">
        <v>3</v>
      </c>
      <c r="DI133" t="s">
        <v>69</v>
      </c>
      <c r="DJ133" t="s">
        <v>69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42</v>
      </c>
      <c r="DW133" t="s">
        <v>42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1364533919</v>
      </c>
      <c r="EF133">
        <v>1</v>
      </c>
      <c r="EG133" t="s">
        <v>21</v>
      </c>
      <c r="EH133">
        <v>0</v>
      </c>
      <c r="EI133" t="s">
        <v>3</v>
      </c>
      <c r="EJ133">
        <v>4</v>
      </c>
      <c r="EK133">
        <v>0</v>
      </c>
      <c r="EL133" t="s">
        <v>22</v>
      </c>
      <c r="EM133" t="s">
        <v>23</v>
      </c>
      <c r="EO133" t="s">
        <v>3</v>
      </c>
      <c r="EQ133">
        <v>0</v>
      </c>
      <c r="ER133">
        <v>193.82</v>
      </c>
      <c r="ES133">
        <v>0</v>
      </c>
      <c r="ET133">
        <v>0</v>
      </c>
      <c r="EU133">
        <v>0</v>
      </c>
      <c r="EV133">
        <v>193.82</v>
      </c>
      <c r="EW133">
        <v>0.34</v>
      </c>
      <c r="EX133">
        <v>0</v>
      </c>
      <c r="EY133">
        <v>0</v>
      </c>
      <c r="FQ133">
        <v>0</v>
      </c>
      <c r="FR133">
        <f t="shared" si="133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-37479648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34"/>
        <v>0</v>
      </c>
      <c r="GM133">
        <f t="shared" si="135"/>
        <v>1046.6300000000001</v>
      </c>
      <c r="GN133">
        <f t="shared" si="136"/>
        <v>0</v>
      </c>
      <c r="GO133">
        <f t="shared" si="137"/>
        <v>0</v>
      </c>
      <c r="GP133">
        <f t="shared" si="138"/>
        <v>1046.6300000000001</v>
      </c>
      <c r="GR133">
        <v>0</v>
      </c>
      <c r="GS133">
        <v>3</v>
      </c>
      <c r="GT133">
        <v>0</v>
      </c>
      <c r="GU133" t="s">
        <v>3</v>
      </c>
      <c r="GV133">
        <f t="shared" si="139"/>
        <v>0</v>
      </c>
      <c r="GW133">
        <v>1</v>
      </c>
      <c r="GX133">
        <f t="shared" si="140"/>
        <v>0</v>
      </c>
      <c r="HA133">
        <v>0</v>
      </c>
      <c r="HB133">
        <v>0</v>
      </c>
      <c r="HC133">
        <f t="shared" si="141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ROW(EtalonRes!A83)</f>
        <v>83</v>
      </c>
      <c r="E134" t="s">
        <v>192</v>
      </c>
      <c r="F134" t="s">
        <v>193</v>
      </c>
      <c r="G134" t="s">
        <v>194</v>
      </c>
      <c r="H134" t="s">
        <v>42</v>
      </c>
      <c r="I134">
        <v>1</v>
      </c>
      <c r="J134">
        <v>0</v>
      </c>
      <c r="K134">
        <v>1</v>
      </c>
      <c r="O134">
        <f t="shared" si="107"/>
        <v>2955.39</v>
      </c>
      <c r="P134">
        <f t="shared" si="108"/>
        <v>105.21</v>
      </c>
      <c r="Q134">
        <f t="shared" si="109"/>
        <v>0</v>
      </c>
      <c r="R134">
        <f t="shared" si="110"/>
        <v>0</v>
      </c>
      <c r="S134">
        <f t="shared" si="111"/>
        <v>2850.18</v>
      </c>
      <c r="T134">
        <f t="shared" si="112"/>
        <v>0</v>
      </c>
      <c r="U134">
        <f t="shared" si="113"/>
        <v>5</v>
      </c>
      <c r="V134">
        <f t="shared" si="114"/>
        <v>0</v>
      </c>
      <c r="W134">
        <f t="shared" si="115"/>
        <v>0</v>
      </c>
      <c r="X134">
        <f t="shared" si="116"/>
        <v>1995.13</v>
      </c>
      <c r="Y134">
        <f t="shared" si="117"/>
        <v>285.02</v>
      </c>
      <c r="AA134">
        <v>1407491423</v>
      </c>
      <c r="AB134">
        <f t="shared" si="118"/>
        <v>2955.39</v>
      </c>
      <c r="AC134">
        <f>ROUND((ES134),6)</f>
        <v>105.21</v>
      </c>
      <c r="AD134">
        <f>ROUND((((ET134)-(EU134))+AE134),6)</f>
        <v>0</v>
      </c>
      <c r="AE134">
        <f>ROUND((EU134),6)</f>
        <v>0</v>
      </c>
      <c r="AF134">
        <f>ROUND((EV134),6)</f>
        <v>2850.18</v>
      </c>
      <c r="AG134">
        <f t="shared" si="120"/>
        <v>0</v>
      </c>
      <c r="AH134">
        <f>(EW134)</f>
        <v>5</v>
      </c>
      <c r="AI134">
        <f>(EX134)</f>
        <v>0</v>
      </c>
      <c r="AJ134">
        <f t="shared" si="122"/>
        <v>0</v>
      </c>
      <c r="AK134">
        <v>2955.39</v>
      </c>
      <c r="AL134">
        <v>105.21</v>
      </c>
      <c r="AM134">
        <v>0</v>
      </c>
      <c r="AN134">
        <v>0</v>
      </c>
      <c r="AO134">
        <v>2850.18</v>
      </c>
      <c r="AP134">
        <v>0</v>
      </c>
      <c r="AQ134">
        <v>5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195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23"/>
        <v>2955.39</v>
      </c>
      <c r="CQ134">
        <f t="shared" si="124"/>
        <v>105.21</v>
      </c>
      <c r="CR134">
        <f>((((ET134)*BB134-(EU134)*BS134)+AE134*BS134)*AV134)</f>
        <v>0</v>
      </c>
      <c r="CS134">
        <f t="shared" si="125"/>
        <v>0</v>
      </c>
      <c r="CT134">
        <f t="shared" si="126"/>
        <v>2850.18</v>
      </c>
      <c r="CU134">
        <f t="shared" si="127"/>
        <v>0</v>
      </c>
      <c r="CV134">
        <f t="shared" si="128"/>
        <v>5</v>
      </c>
      <c r="CW134">
        <f t="shared" si="129"/>
        <v>0</v>
      </c>
      <c r="CX134">
        <f t="shared" si="130"/>
        <v>0</v>
      </c>
      <c r="CY134">
        <f t="shared" si="131"/>
        <v>1995.1259999999997</v>
      </c>
      <c r="CZ134">
        <f t="shared" si="132"/>
        <v>285.01799999999997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42</v>
      </c>
      <c r="DW134" t="s">
        <v>42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1364533919</v>
      </c>
      <c r="EF134">
        <v>1</v>
      </c>
      <c r="EG134" t="s">
        <v>21</v>
      </c>
      <c r="EH134">
        <v>0</v>
      </c>
      <c r="EI134" t="s">
        <v>3</v>
      </c>
      <c r="EJ134">
        <v>4</v>
      </c>
      <c r="EK134">
        <v>0</v>
      </c>
      <c r="EL134" t="s">
        <v>22</v>
      </c>
      <c r="EM134" t="s">
        <v>23</v>
      </c>
      <c r="EO134" t="s">
        <v>3</v>
      </c>
      <c r="EQ134">
        <v>0</v>
      </c>
      <c r="ER134">
        <v>2955.39</v>
      </c>
      <c r="ES134">
        <v>105.21</v>
      </c>
      <c r="ET134">
        <v>0</v>
      </c>
      <c r="EU134">
        <v>0</v>
      </c>
      <c r="EV134">
        <v>2850.18</v>
      </c>
      <c r="EW134">
        <v>5</v>
      </c>
      <c r="EX134">
        <v>0</v>
      </c>
      <c r="EY134">
        <v>0</v>
      </c>
      <c r="FQ134">
        <v>0</v>
      </c>
      <c r="FR134">
        <f t="shared" si="133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-843673373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34"/>
        <v>0</v>
      </c>
      <c r="GM134">
        <f t="shared" si="135"/>
        <v>5235.54</v>
      </c>
      <c r="GN134">
        <f t="shared" si="136"/>
        <v>0</v>
      </c>
      <c r="GO134">
        <f t="shared" si="137"/>
        <v>0</v>
      </c>
      <c r="GP134">
        <f t="shared" si="138"/>
        <v>5235.54</v>
      </c>
      <c r="GR134">
        <v>0</v>
      </c>
      <c r="GS134">
        <v>3</v>
      </c>
      <c r="GT134">
        <v>0</v>
      </c>
      <c r="GU134" t="s">
        <v>3</v>
      </c>
      <c r="GV134">
        <f t="shared" si="139"/>
        <v>0</v>
      </c>
      <c r="GW134">
        <v>1</v>
      </c>
      <c r="GX134">
        <f t="shared" si="140"/>
        <v>0</v>
      </c>
      <c r="HA134">
        <v>0</v>
      </c>
      <c r="HB134">
        <v>0</v>
      </c>
      <c r="HC134">
        <f t="shared" si="141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6" spans="1:245" x14ac:dyDescent="0.2">
      <c r="A136" s="2">
        <v>51</v>
      </c>
      <c r="B136" s="2">
        <f>B117</f>
        <v>1</v>
      </c>
      <c r="C136" s="2">
        <f>A117</f>
        <v>4</v>
      </c>
      <c r="D136" s="2">
        <f>ROW(A117)</f>
        <v>117</v>
      </c>
      <c r="E136" s="2"/>
      <c r="F136" s="2" t="str">
        <f>IF(F117&lt;&gt;"",F117,"")</f>
        <v>Новый раздел</v>
      </c>
      <c r="G136" s="2" t="str">
        <f>IF(G117&lt;&gt;"",G117,"")</f>
        <v>Система водоотведения</v>
      </c>
      <c r="H136" s="2">
        <v>0</v>
      </c>
      <c r="I136" s="2"/>
      <c r="J136" s="2"/>
      <c r="K136" s="2"/>
      <c r="L136" s="2"/>
      <c r="M136" s="2"/>
      <c r="N136" s="2"/>
      <c r="O136" s="2">
        <f t="shared" ref="O136:T136" si="146">ROUND(AB136,2)</f>
        <v>43197.7</v>
      </c>
      <c r="P136" s="2">
        <f t="shared" si="146"/>
        <v>500.86</v>
      </c>
      <c r="Q136" s="2">
        <f t="shared" si="146"/>
        <v>12.08</v>
      </c>
      <c r="R136" s="2">
        <f t="shared" si="146"/>
        <v>0.02</v>
      </c>
      <c r="S136" s="2">
        <f t="shared" si="146"/>
        <v>42684.76</v>
      </c>
      <c r="T136" s="2">
        <f t="shared" si="146"/>
        <v>0</v>
      </c>
      <c r="U136" s="2">
        <f>AH136</f>
        <v>88.227679999999992</v>
      </c>
      <c r="V136" s="2">
        <f>AI136</f>
        <v>0</v>
      </c>
      <c r="W136" s="2">
        <f>ROUND(AJ136,2)</f>
        <v>0</v>
      </c>
      <c r="X136" s="2">
        <f>ROUND(AK136,2)</f>
        <v>29879.34</v>
      </c>
      <c r="Y136" s="2">
        <f>ROUND(AL136,2)</f>
        <v>4268.4799999999996</v>
      </c>
      <c r="Z136" s="2"/>
      <c r="AA136" s="2"/>
      <c r="AB136" s="2">
        <f>ROUND(SUMIF(AA121:AA134,"=1407491423",O121:O134),2)</f>
        <v>43197.7</v>
      </c>
      <c r="AC136" s="2">
        <f>ROUND(SUMIF(AA121:AA134,"=1407491423",P121:P134),2)</f>
        <v>500.86</v>
      </c>
      <c r="AD136" s="2">
        <f>ROUND(SUMIF(AA121:AA134,"=1407491423",Q121:Q134),2)</f>
        <v>12.08</v>
      </c>
      <c r="AE136" s="2">
        <f>ROUND(SUMIF(AA121:AA134,"=1407491423",R121:R134),2)</f>
        <v>0.02</v>
      </c>
      <c r="AF136" s="2">
        <f>ROUND(SUMIF(AA121:AA134,"=1407491423",S121:S134),2)</f>
        <v>42684.76</v>
      </c>
      <c r="AG136" s="2">
        <f>ROUND(SUMIF(AA121:AA134,"=1407491423",T121:T134),2)</f>
        <v>0</v>
      </c>
      <c r="AH136" s="2">
        <f>SUMIF(AA121:AA134,"=1407491423",U121:U134)</f>
        <v>88.227679999999992</v>
      </c>
      <c r="AI136" s="2">
        <f>SUMIF(AA121:AA134,"=1407491423",V121:V134)</f>
        <v>0</v>
      </c>
      <c r="AJ136" s="2">
        <f>ROUND(SUMIF(AA121:AA134,"=1407491423",W121:W134),2)</f>
        <v>0</v>
      </c>
      <c r="AK136" s="2">
        <f>ROUND(SUMIF(AA121:AA134,"=1407491423",X121:X134),2)</f>
        <v>29879.34</v>
      </c>
      <c r="AL136" s="2">
        <f>ROUND(SUMIF(AA121:AA134,"=1407491423",Y121:Y134),2)</f>
        <v>4268.4799999999996</v>
      </c>
      <c r="AM136" s="2"/>
      <c r="AN136" s="2"/>
      <c r="AO136" s="2">
        <f t="shared" ref="AO136:BD136" si="147">ROUND(BX136,2)</f>
        <v>0</v>
      </c>
      <c r="AP136" s="2">
        <f t="shared" si="147"/>
        <v>0</v>
      </c>
      <c r="AQ136" s="2">
        <f t="shared" si="147"/>
        <v>0</v>
      </c>
      <c r="AR136" s="2">
        <f t="shared" si="147"/>
        <v>77345.539999999994</v>
      </c>
      <c r="AS136" s="2">
        <f t="shared" si="147"/>
        <v>0</v>
      </c>
      <c r="AT136" s="2">
        <f t="shared" si="147"/>
        <v>0</v>
      </c>
      <c r="AU136" s="2">
        <f t="shared" si="147"/>
        <v>77345.539999999994</v>
      </c>
      <c r="AV136" s="2">
        <f t="shared" si="147"/>
        <v>500.86</v>
      </c>
      <c r="AW136" s="2">
        <f t="shared" si="147"/>
        <v>500.86</v>
      </c>
      <c r="AX136" s="2">
        <f t="shared" si="147"/>
        <v>0</v>
      </c>
      <c r="AY136" s="2">
        <f t="shared" si="147"/>
        <v>500.86</v>
      </c>
      <c r="AZ136" s="2">
        <f t="shared" si="147"/>
        <v>0</v>
      </c>
      <c r="BA136" s="2">
        <f t="shared" si="147"/>
        <v>0</v>
      </c>
      <c r="BB136" s="2">
        <f t="shared" si="147"/>
        <v>0</v>
      </c>
      <c r="BC136" s="2">
        <f t="shared" si="147"/>
        <v>0</v>
      </c>
      <c r="BD136" s="2">
        <f t="shared" si="147"/>
        <v>0</v>
      </c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>
        <f>ROUND(SUMIF(AA121:AA134,"=1407491423",FQ121:FQ134),2)</f>
        <v>0</v>
      </c>
      <c r="BY136" s="2">
        <f>ROUND(SUMIF(AA121:AA134,"=1407491423",FR121:FR134),2)</f>
        <v>0</v>
      </c>
      <c r="BZ136" s="2">
        <f>ROUND(SUMIF(AA121:AA134,"=1407491423",GL121:GL134),2)</f>
        <v>0</v>
      </c>
      <c r="CA136" s="2">
        <f>ROUND(SUMIF(AA121:AA134,"=1407491423",GM121:GM134),2)</f>
        <v>77345.539999999994</v>
      </c>
      <c r="CB136" s="2">
        <f>ROUND(SUMIF(AA121:AA134,"=1407491423",GN121:GN134),2)</f>
        <v>0</v>
      </c>
      <c r="CC136" s="2">
        <f>ROUND(SUMIF(AA121:AA134,"=1407491423",GO121:GO134),2)</f>
        <v>0</v>
      </c>
      <c r="CD136" s="2">
        <f>ROUND(SUMIF(AA121:AA134,"=1407491423",GP121:GP134),2)</f>
        <v>77345.539999999994</v>
      </c>
      <c r="CE136" s="2">
        <f>AC136-BX136</f>
        <v>500.86</v>
      </c>
      <c r="CF136" s="2">
        <f>AC136-BY136</f>
        <v>500.86</v>
      </c>
      <c r="CG136" s="2">
        <f>BX136-BZ136</f>
        <v>0</v>
      </c>
      <c r="CH136" s="2">
        <f>AC136-BX136-BY136+BZ136</f>
        <v>500.86</v>
      </c>
      <c r="CI136" s="2">
        <f>BY136-BZ136</f>
        <v>0</v>
      </c>
      <c r="CJ136" s="2">
        <f>ROUND(SUMIF(AA121:AA134,"=1407491423",GX121:GX134),2)</f>
        <v>0</v>
      </c>
      <c r="CK136" s="2">
        <f>ROUND(SUMIF(AA121:AA134,"=1407491423",GY121:GY134),2)</f>
        <v>0</v>
      </c>
      <c r="CL136" s="2">
        <f>ROUND(SUMIF(AA121:AA134,"=1407491423",GZ121:GZ134),2)</f>
        <v>0</v>
      </c>
      <c r="CM136" s="2">
        <f>ROUND(SUMIF(AA121:AA134,"=1407491423",HD121:HD134),2)</f>
        <v>0</v>
      </c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>
        <v>0</v>
      </c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201</v>
      </c>
      <c r="F138" s="4">
        <f>ROUND(Source!O136,O138)</f>
        <v>43197.7</v>
      </c>
      <c r="G138" s="4" t="s">
        <v>74</v>
      </c>
      <c r="H138" s="4" t="s">
        <v>75</v>
      </c>
      <c r="I138" s="4"/>
      <c r="J138" s="4"/>
      <c r="K138" s="4">
        <v>201</v>
      </c>
      <c r="L138" s="4">
        <v>1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43197.7</v>
      </c>
      <c r="X138" s="4">
        <v>1</v>
      </c>
      <c r="Y138" s="4">
        <v>43197.7</v>
      </c>
      <c r="Z138" s="4"/>
      <c r="AA138" s="4"/>
      <c r="AB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202</v>
      </c>
      <c r="F139" s="4">
        <f>ROUND(Source!P136,O139)</f>
        <v>500.86</v>
      </c>
      <c r="G139" s="4" t="s">
        <v>76</v>
      </c>
      <c r="H139" s="4" t="s">
        <v>77</v>
      </c>
      <c r="I139" s="4"/>
      <c r="J139" s="4"/>
      <c r="K139" s="4">
        <v>202</v>
      </c>
      <c r="L139" s="4">
        <v>2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500.86</v>
      </c>
      <c r="X139" s="4">
        <v>1</v>
      </c>
      <c r="Y139" s="4">
        <v>500.86</v>
      </c>
      <c r="Z139" s="4"/>
      <c r="AA139" s="4"/>
      <c r="AB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222</v>
      </c>
      <c r="F140" s="4">
        <f>ROUND(Source!AO136,O140)</f>
        <v>0</v>
      </c>
      <c r="G140" s="4" t="s">
        <v>78</v>
      </c>
      <c r="H140" s="4" t="s">
        <v>79</v>
      </c>
      <c r="I140" s="4"/>
      <c r="J140" s="4"/>
      <c r="K140" s="4">
        <v>222</v>
      </c>
      <c r="L140" s="4">
        <v>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225</v>
      </c>
      <c r="F141" s="4">
        <f>ROUND(Source!AV136,O141)</f>
        <v>500.86</v>
      </c>
      <c r="G141" s="4" t="s">
        <v>80</v>
      </c>
      <c r="H141" s="4" t="s">
        <v>81</v>
      </c>
      <c r="I141" s="4"/>
      <c r="J141" s="4"/>
      <c r="K141" s="4">
        <v>225</v>
      </c>
      <c r="L141" s="4">
        <v>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500.86</v>
      </c>
      <c r="X141" s="4">
        <v>1</v>
      </c>
      <c r="Y141" s="4">
        <v>500.86</v>
      </c>
      <c r="Z141" s="4"/>
      <c r="AA141" s="4"/>
      <c r="AB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226</v>
      </c>
      <c r="F142" s="4">
        <f>ROUND(Source!AW136,O142)</f>
        <v>500.86</v>
      </c>
      <c r="G142" s="4" t="s">
        <v>82</v>
      </c>
      <c r="H142" s="4" t="s">
        <v>83</v>
      </c>
      <c r="I142" s="4"/>
      <c r="J142" s="4"/>
      <c r="K142" s="4">
        <v>226</v>
      </c>
      <c r="L142" s="4">
        <v>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500.86</v>
      </c>
      <c r="X142" s="4">
        <v>1</v>
      </c>
      <c r="Y142" s="4">
        <v>500.86</v>
      </c>
      <c r="Z142" s="4"/>
      <c r="AA142" s="4"/>
      <c r="AB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227</v>
      </c>
      <c r="F143" s="4">
        <f>ROUND(Source!AX136,O143)</f>
        <v>0</v>
      </c>
      <c r="G143" s="4" t="s">
        <v>84</v>
      </c>
      <c r="H143" s="4" t="s">
        <v>85</v>
      </c>
      <c r="I143" s="4"/>
      <c r="J143" s="4"/>
      <c r="K143" s="4">
        <v>227</v>
      </c>
      <c r="L143" s="4">
        <v>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228</v>
      </c>
      <c r="F144" s="4">
        <f>ROUND(Source!AY136,O144)</f>
        <v>500.86</v>
      </c>
      <c r="G144" s="4" t="s">
        <v>86</v>
      </c>
      <c r="H144" s="4" t="s">
        <v>87</v>
      </c>
      <c r="I144" s="4"/>
      <c r="J144" s="4"/>
      <c r="K144" s="4">
        <v>228</v>
      </c>
      <c r="L144" s="4">
        <v>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500.86</v>
      </c>
      <c r="X144" s="4">
        <v>1</v>
      </c>
      <c r="Y144" s="4">
        <v>500.86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216</v>
      </c>
      <c r="F145" s="4">
        <f>ROUND(Source!AP136,O145)</f>
        <v>0</v>
      </c>
      <c r="G145" s="4" t="s">
        <v>88</v>
      </c>
      <c r="H145" s="4" t="s">
        <v>89</v>
      </c>
      <c r="I145" s="4"/>
      <c r="J145" s="4"/>
      <c r="K145" s="4">
        <v>216</v>
      </c>
      <c r="L145" s="4">
        <v>8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223</v>
      </c>
      <c r="F146" s="4">
        <f>ROUND(Source!AQ136,O146)</f>
        <v>0</v>
      </c>
      <c r="G146" s="4" t="s">
        <v>90</v>
      </c>
      <c r="H146" s="4" t="s">
        <v>91</v>
      </c>
      <c r="I146" s="4"/>
      <c r="J146" s="4"/>
      <c r="K146" s="4">
        <v>223</v>
      </c>
      <c r="L146" s="4">
        <v>9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229</v>
      </c>
      <c r="F147" s="4">
        <f>ROUND(Source!AZ136,O147)</f>
        <v>0</v>
      </c>
      <c r="G147" s="4" t="s">
        <v>92</v>
      </c>
      <c r="H147" s="4" t="s">
        <v>93</v>
      </c>
      <c r="I147" s="4"/>
      <c r="J147" s="4"/>
      <c r="K147" s="4">
        <v>229</v>
      </c>
      <c r="L147" s="4">
        <v>10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203</v>
      </c>
      <c r="F148" s="4">
        <f>ROUND(Source!Q136,O148)</f>
        <v>12.08</v>
      </c>
      <c r="G148" s="4" t="s">
        <v>94</v>
      </c>
      <c r="H148" s="4" t="s">
        <v>95</v>
      </c>
      <c r="I148" s="4"/>
      <c r="J148" s="4"/>
      <c r="K148" s="4">
        <v>203</v>
      </c>
      <c r="L148" s="4">
        <v>11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12.08</v>
      </c>
      <c r="X148" s="4">
        <v>1</v>
      </c>
      <c r="Y148" s="4">
        <v>12.08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231</v>
      </c>
      <c r="F149" s="4">
        <f>ROUND(Source!BB136,O149)</f>
        <v>0</v>
      </c>
      <c r="G149" s="4" t="s">
        <v>96</v>
      </c>
      <c r="H149" s="4" t="s">
        <v>97</v>
      </c>
      <c r="I149" s="4"/>
      <c r="J149" s="4"/>
      <c r="K149" s="4">
        <v>231</v>
      </c>
      <c r="L149" s="4">
        <v>12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204</v>
      </c>
      <c r="F150" s="4">
        <f>ROUND(Source!R136,O150)</f>
        <v>0.02</v>
      </c>
      <c r="G150" s="4" t="s">
        <v>98</v>
      </c>
      <c r="H150" s="4" t="s">
        <v>99</v>
      </c>
      <c r="I150" s="4"/>
      <c r="J150" s="4"/>
      <c r="K150" s="4">
        <v>204</v>
      </c>
      <c r="L150" s="4">
        <v>13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0.02</v>
      </c>
      <c r="X150" s="4">
        <v>1</v>
      </c>
      <c r="Y150" s="4">
        <v>0.02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205</v>
      </c>
      <c r="F151" s="4">
        <f>ROUND(Source!S136,O151)</f>
        <v>42684.76</v>
      </c>
      <c r="G151" s="4" t="s">
        <v>100</v>
      </c>
      <c r="H151" s="4" t="s">
        <v>101</v>
      </c>
      <c r="I151" s="4"/>
      <c r="J151" s="4"/>
      <c r="K151" s="4">
        <v>205</v>
      </c>
      <c r="L151" s="4">
        <v>14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42684.76</v>
      </c>
      <c r="X151" s="4">
        <v>1</v>
      </c>
      <c r="Y151" s="4">
        <v>42684.76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232</v>
      </c>
      <c r="F152" s="4">
        <f>ROUND(Source!BC136,O152)</f>
        <v>0</v>
      </c>
      <c r="G152" s="4" t="s">
        <v>102</v>
      </c>
      <c r="H152" s="4" t="s">
        <v>103</v>
      </c>
      <c r="I152" s="4"/>
      <c r="J152" s="4"/>
      <c r="K152" s="4">
        <v>232</v>
      </c>
      <c r="L152" s="4">
        <v>15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214</v>
      </c>
      <c r="F153" s="4">
        <f>ROUND(Source!AS136,O153)</f>
        <v>0</v>
      </c>
      <c r="G153" s="4" t="s">
        <v>104</v>
      </c>
      <c r="H153" s="4" t="s">
        <v>105</v>
      </c>
      <c r="I153" s="4"/>
      <c r="J153" s="4"/>
      <c r="K153" s="4">
        <v>214</v>
      </c>
      <c r="L153" s="4">
        <v>16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215</v>
      </c>
      <c r="F154" s="4">
        <f>ROUND(Source!AT136,O154)</f>
        <v>0</v>
      </c>
      <c r="G154" s="4" t="s">
        <v>106</v>
      </c>
      <c r="H154" s="4" t="s">
        <v>107</v>
      </c>
      <c r="I154" s="4"/>
      <c r="J154" s="4"/>
      <c r="K154" s="4">
        <v>215</v>
      </c>
      <c r="L154" s="4">
        <v>17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217</v>
      </c>
      <c r="F155" s="4">
        <f>ROUND(Source!AU136,O155)</f>
        <v>77345.539999999994</v>
      </c>
      <c r="G155" s="4" t="s">
        <v>108</v>
      </c>
      <c r="H155" s="4" t="s">
        <v>109</v>
      </c>
      <c r="I155" s="4"/>
      <c r="J155" s="4"/>
      <c r="K155" s="4">
        <v>217</v>
      </c>
      <c r="L155" s="4">
        <v>18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77345.539999999994</v>
      </c>
      <c r="X155" s="4">
        <v>1</v>
      </c>
      <c r="Y155" s="4">
        <v>77345.539999999994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230</v>
      </c>
      <c r="F156" s="4">
        <f>ROUND(Source!BA136,O156)</f>
        <v>0</v>
      </c>
      <c r="G156" s="4" t="s">
        <v>110</v>
      </c>
      <c r="H156" s="4" t="s">
        <v>111</v>
      </c>
      <c r="I156" s="4"/>
      <c r="J156" s="4"/>
      <c r="K156" s="4">
        <v>230</v>
      </c>
      <c r="L156" s="4">
        <v>19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206</v>
      </c>
      <c r="F157" s="4">
        <f>ROUND(Source!T136,O157)</f>
        <v>0</v>
      </c>
      <c r="G157" s="4" t="s">
        <v>112</v>
      </c>
      <c r="H157" s="4" t="s">
        <v>113</v>
      </c>
      <c r="I157" s="4"/>
      <c r="J157" s="4"/>
      <c r="K157" s="4">
        <v>206</v>
      </c>
      <c r="L157" s="4">
        <v>20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207</v>
      </c>
      <c r="F158" s="4">
        <f>Source!U136</f>
        <v>88.227679999999992</v>
      </c>
      <c r="G158" s="4" t="s">
        <v>114</v>
      </c>
      <c r="H158" s="4" t="s">
        <v>115</v>
      </c>
      <c r="I158" s="4"/>
      <c r="J158" s="4"/>
      <c r="K158" s="4">
        <v>207</v>
      </c>
      <c r="L158" s="4">
        <v>21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88.227679999999978</v>
      </c>
      <c r="X158" s="4">
        <v>1</v>
      </c>
      <c r="Y158" s="4">
        <v>88.227679999999978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208</v>
      </c>
      <c r="F159" s="4">
        <f>Source!V136</f>
        <v>0</v>
      </c>
      <c r="G159" s="4" t="s">
        <v>116</v>
      </c>
      <c r="H159" s="4" t="s">
        <v>117</v>
      </c>
      <c r="I159" s="4"/>
      <c r="J159" s="4"/>
      <c r="K159" s="4">
        <v>208</v>
      </c>
      <c r="L159" s="4">
        <v>22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209</v>
      </c>
      <c r="F160" s="4">
        <f>ROUND(Source!W136,O160)</f>
        <v>0</v>
      </c>
      <c r="G160" s="4" t="s">
        <v>118</v>
      </c>
      <c r="H160" s="4" t="s">
        <v>119</v>
      </c>
      <c r="I160" s="4"/>
      <c r="J160" s="4"/>
      <c r="K160" s="4">
        <v>209</v>
      </c>
      <c r="L160" s="4">
        <v>23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233</v>
      </c>
      <c r="F161" s="4">
        <f>ROUND(Source!BD136,O161)</f>
        <v>0</v>
      </c>
      <c r="G161" s="4" t="s">
        <v>120</v>
      </c>
      <c r="H161" s="4" t="s">
        <v>121</v>
      </c>
      <c r="I161" s="4"/>
      <c r="J161" s="4"/>
      <c r="K161" s="4">
        <v>233</v>
      </c>
      <c r="L161" s="4">
        <v>24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210</v>
      </c>
      <c r="F162" s="4">
        <f>ROUND(Source!X136,O162)</f>
        <v>29879.34</v>
      </c>
      <c r="G162" s="4" t="s">
        <v>122</v>
      </c>
      <c r="H162" s="4" t="s">
        <v>123</v>
      </c>
      <c r="I162" s="4"/>
      <c r="J162" s="4"/>
      <c r="K162" s="4">
        <v>210</v>
      </c>
      <c r="L162" s="4">
        <v>25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29879.34</v>
      </c>
      <c r="X162" s="4">
        <v>1</v>
      </c>
      <c r="Y162" s="4">
        <v>29879.34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211</v>
      </c>
      <c r="F163" s="4">
        <f>ROUND(Source!Y136,O163)</f>
        <v>4268.4799999999996</v>
      </c>
      <c r="G163" s="4" t="s">
        <v>124</v>
      </c>
      <c r="H163" s="4" t="s">
        <v>125</v>
      </c>
      <c r="I163" s="4"/>
      <c r="J163" s="4"/>
      <c r="K163" s="4">
        <v>211</v>
      </c>
      <c r="L163" s="4">
        <v>26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4268.4799999999996</v>
      </c>
      <c r="X163" s="4">
        <v>1</v>
      </c>
      <c r="Y163" s="4">
        <v>4268.4799999999996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224</v>
      </c>
      <c r="F164" s="4">
        <f>ROUND(Source!AR136,O164)</f>
        <v>77345.539999999994</v>
      </c>
      <c r="G164" s="4" t="s">
        <v>126</v>
      </c>
      <c r="H164" s="4" t="s">
        <v>127</v>
      </c>
      <c r="I164" s="4"/>
      <c r="J164" s="4"/>
      <c r="K164" s="4">
        <v>224</v>
      </c>
      <c r="L164" s="4">
        <v>27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77345.539999999994</v>
      </c>
      <c r="X164" s="4">
        <v>1</v>
      </c>
      <c r="Y164" s="4">
        <v>77345.539999999994</v>
      </c>
      <c r="Z164" s="4"/>
      <c r="AA164" s="4"/>
      <c r="AB164" s="4"/>
    </row>
    <row r="166" spans="1:245" x14ac:dyDescent="0.2">
      <c r="A166" s="1">
        <v>4</v>
      </c>
      <c r="B166" s="1">
        <v>1</v>
      </c>
      <c r="C166" s="1"/>
      <c r="D166" s="1">
        <f>ROW(A177)</f>
        <v>177</v>
      </c>
      <c r="E166" s="1"/>
      <c r="F166" s="1" t="s">
        <v>13</v>
      </c>
      <c r="G166" s="1" t="s">
        <v>196</v>
      </c>
      <c r="H166" s="1" t="s">
        <v>3</v>
      </c>
      <c r="I166" s="1">
        <v>0</v>
      </c>
      <c r="J166" s="1"/>
      <c r="K166" s="1">
        <v>0</v>
      </c>
      <c r="L166" s="1"/>
      <c r="M166" s="1" t="s">
        <v>3</v>
      </c>
      <c r="N166" s="1"/>
      <c r="O166" s="1"/>
      <c r="P166" s="1"/>
      <c r="Q166" s="1"/>
      <c r="R166" s="1"/>
      <c r="S166" s="1">
        <v>0</v>
      </c>
      <c r="T166" s="1"/>
      <c r="U166" s="1" t="s">
        <v>3</v>
      </c>
      <c r="V166" s="1">
        <v>0</v>
      </c>
      <c r="W166" s="1"/>
      <c r="X166" s="1"/>
      <c r="Y166" s="1"/>
      <c r="Z166" s="1"/>
      <c r="AA166" s="1"/>
      <c r="AB166" s="1" t="s">
        <v>3</v>
      </c>
      <c r="AC166" s="1" t="s">
        <v>3</v>
      </c>
      <c r="AD166" s="1" t="s">
        <v>3</v>
      </c>
      <c r="AE166" s="1" t="s">
        <v>3</v>
      </c>
      <c r="AF166" s="1" t="s">
        <v>3</v>
      </c>
      <c r="AG166" s="1" t="s">
        <v>3</v>
      </c>
      <c r="AH166" s="1"/>
      <c r="AI166" s="1"/>
      <c r="AJ166" s="1"/>
      <c r="AK166" s="1"/>
      <c r="AL166" s="1"/>
      <c r="AM166" s="1"/>
      <c r="AN166" s="1"/>
      <c r="AO166" s="1"/>
      <c r="AP166" s="1" t="s">
        <v>3</v>
      </c>
      <c r="AQ166" s="1" t="s">
        <v>3</v>
      </c>
      <c r="AR166" s="1" t="s">
        <v>3</v>
      </c>
      <c r="AS166" s="1"/>
      <c r="AT166" s="1"/>
      <c r="AU166" s="1"/>
      <c r="AV166" s="1"/>
      <c r="AW166" s="1"/>
      <c r="AX166" s="1"/>
      <c r="AY166" s="1"/>
      <c r="AZ166" s="1" t="s">
        <v>3</v>
      </c>
      <c r="BA166" s="1"/>
      <c r="BB166" s="1" t="s">
        <v>3</v>
      </c>
      <c r="BC166" s="1" t="s">
        <v>3</v>
      </c>
      <c r="BD166" s="1" t="s">
        <v>3</v>
      </c>
      <c r="BE166" s="1" t="s">
        <v>3</v>
      </c>
      <c r="BF166" s="1" t="s">
        <v>3</v>
      </c>
      <c r="BG166" s="1" t="s">
        <v>3</v>
      </c>
      <c r="BH166" s="1" t="s">
        <v>3</v>
      </c>
      <c r="BI166" s="1" t="s">
        <v>3</v>
      </c>
      <c r="BJ166" s="1" t="s">
        <v>3</v>
      </c>
      <c r="BK166" s="1" t="s">
        <v>3</v>
      </c>
      <c r="BL166" s="1" t="s">
        <v>3</v>
      </c>
      <c r="BM166" s="1" t="s">
        <v>3</v>
      </c>
      <c r="BN166" s="1" t="s">
        <v>3</v>
      </c>
      <c r="BO166" s="1" t="s">
        <v>3</v>
      </c>
      <c r="BP166" s="1" t="s">
        <v>3</v>
      </c>
      <c r="BQ166" s="1"/>
      <c r="BR166" s="1"/>
      <c r="BS166" s="1"/>
      <c r="BT166" s="1"/>
      <c r="BU166" s="1"/>
      <c r="BV166" s="1"/>
      <c r="BW166" s="1"/>
      <c r="BX166" s="1">
        <v>0</v>
      </c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>
        <v>0</v>
      </c>
    </row>
    <row r="168" spans="1:245" x14ac:dyDescent="0.2">
      <c r="A168" s="2">
        <v>52</v>
      </c>
      <c r="B168" s="2">
        <f t="shared" ref="B168:G168" si="148">B177</f>
        <v>1</v>
      </c>
      <c r="C168" s="2">
        <f t="shared" si="148"/>
        <v>4</v>
      </c>
      <c r="D168" s="2">
        <f t="shared" si="148"/>
        <v>166</v>
      </c>
      <c r="E168" s="2">
        <f t="shared" si="148"/>
        <v>0</v>
      </c>
      <c r="F168" s="2" t="str">
        <f t="shared" si="148"/>
        <v>Новый раздел</v>
      </c>
      <c r="G168" s="2" t="str">
        <f t="shared" si="148"/>
        <v>Электроосвещение</v>
      </c>
      <c r="H168" s="2"/>
      <c r="I168" s="2"/>
      <c r="J168" s="2"/>
      <c r="K168" s="2"/>
      <c r="L168" s="2"/>
      <c r="M168" s="2"/>
      <c r="N168" s="2"/>
      <c r="O168" s="2">
        <f t="shared" ref="O168:AT168" si="149">O177</f>
        <v>202776.95999999999</v>
      </c>
      <c r="P168" s="2">
        <f t="shared" si="149"/>
        <v>754.78</v>
      </c>
      <c r="Q168" s="2">
        <f t="shared" si="149"/>
        <v>3589.02</v>
      </c>
      <c r="R168" s="2">
        <f t="shared" si="149"/>
        <v>1946.73</v>
      </c>
      <c r="S168" s="2">
        <f t="shared" si="149"/>
        <v>198433.16</v>
      </c>
      <c r="T168" s="2">
        <f t="shared" si="149"/>
        <v>0</v>
      </c>
      <c r="U168" s="2">
        <f t="shared" si="149"/>
        <v>402.84800000000001</v>
      </c>
      <c r="V168" s="2">
        <f t="shared" si="149"/>
        <v>0</v>
      </c>
      <c r="W168" s="2">
        <f t="shared" si="149"/>
        <v>0</v>
      </c>
      <c r="X168" s="2">
        <f t="shared" si="149"/>
        <v>138903.22</v>
      </c>
      <c r="Y168" s="2">
        <f t="shared" si="149"/>
        <v>19843.310000000001</v>
      </c>
      <c r="Z168" s="2">
        <f t="shared" si="149"/>
        <v>0</v>
      </c>
      <c r="AA168" s="2">
        <f t="shared" si="149"/>
        <v>0</v>
      </c>
      <c r="AB168" s="2">
        <f t="shared" si="149"/>
        <v>202776.95999999999</v>
      </c>
      <c r="AC168" s="2">
        <f t="shared" si="149"/>
        <v>754.78</v>
      </c>
      <c r="AD168" s="2">
        <f t="shared" si="149"/>
        <v>3589.02</v>
      </c>
      <c r="AE168" s="2">
        <f t="shared" si="149"/>
        <v>1946.73</v>
      </c>
      <c r="AF168" s="2">
        <f t="shared" si="149"/>
        <v>198433.16</v>
      </c>
      <c r="AG168" s="2">
        <f t="shared" si="149"/>
        <v>0</v>
      </c>
      <c r="AH168" s="2">
        <f t="shared" si="149"/>
        <v>402.84800000000001</v>
      </c>
      <c r="AI168" s="2">
        <f t="shared" si="149"/>
        <v>0</v>
      </c>
      <c r="AJ168" s="2">
        <f t="shared" si="149"/>
        <v>0</v>
      </c>
      <c r="AK168" s="2">
        <f t="shared" si="149"/>
        <v>138903.22</v>
      </c>
      <c r="AL168" s="2">
        <f t="shared" si="149"/>
        <v>19843.310000000001</v>
      </c>
      <c r="AM168" s="2">
        <f t="shared" si="149"/>
        <v>0</v>
      </c>
      <c r="AN168" s="2">
        <f t="shared" si="149"/>
        <v>0</v>
      </c>
      <c r="AO168" s="2">
        <f t="shared" si="149"/>
        <v>0</v>
      </c>
      <c r="AP168" s="2">
        <f t="shared" si="149"/>
        <v>0</v>
      </c>
      <c r="AQ168" s="2">
        <f t="shared" si="149"/>
        <v>0</v>
      </c>
      <c r="AR168" s="2">
        <f t="shared" si="149"/>
        <v>363625.96</v>
      </c>
      <c r="AS168" s="2">
        <f t="shared" si="149"/>
        <v>0</v>
      </c>
      <c r="AT168" s="2">
        <f t="shared" si="149"/>
        <v>0</v>
      </c>
      <c r="AU168" s="2">
        <f t="shared" ref="AU168:BZ168" si="150">AU177</f>
        <v>363625.96</v>
      </c>
      <c r="AV168" s="2">
        <f t="shared" si="150"/>
        <v>754.78</v>
      </c>
      <c r="AW168" s="2">
        <f t="shared" si="150"/>
        <v>754.78</v>
      </c>
      <c r="AX168" s="2">
        <f t="shared" si="150"/>
        <v>0</v>
      </c>
      <c r="AY168" s="2">
        <f t="shared" si="150"/>
        <v>754.78</v>
      </c>
      <c r="AZ168" s="2">
        <f t="shared" si="150"/>
        <v>0</v>
      </c>
      <c r="BA168" s="2">
        <f t="shared" si="150"/>
        <v>0</v>
      </c>
      <c r="BB168" s="2">
        <f t="shared" si="150"/>
        <v>0</v>
      </c>
      <c r="BC168" s="2">
        <f t="shared" si="150"/>
        <v>0</v>
      </c>
      <c r="BD168" s="2">
        <f t="shared" si="150"/>
        <v>0</v>
      </c>
      <c r="BE168" s="2">
        <f t="shared" si="150"/>
        <v>0</v>
      </c>
      <c r="BF168" s="2">
        <f t="shared" si="150"/>
        <v>0</v>
      </c>
      <c r="BG168" s="2">
        <f t="shared" si="150"/>
        <v>0</v>
      </c>
      <c r="BH168" s="2">
        <f t="shared" si="150"/>
        <v>0</v>
      </c>
      <c r="BI168" s="2">
        <f t="shared" si="150"/>
        <v>0</v>
      </c>
      <c r="BJ168" s="2">
        <f t="shared" si="150"/>
        <v>0</v>
      </c>
      <c r="BK168" s="2">
        <f t="shared" si="150"/>
        <v>0</v>
      </c>
      <c r="BL168" s="2">
        <f t="shared" si="150"/>
        <v>0</v>
      </c>
      <c r="BM168" s="2">
        <f t="shared" si="150"/>
        <v>0</v>
      </c>
      <c r="BN168" s="2">
        <f t="shared" si="150"/>
        <v>0</v>
      </c>
      <c r="BO168" s="2">
        <f t="shared" si="150"/>
        <v>0</v>
      </c>
      <c r="BP168" s="2">
        <f t="shared" si="150"/>
        <v>0</v>
      </c>
      <c r="BQ168" s="2">
        <f t="shared" si="150"/>
        <v>0</v>
      </c>
      <c r="BR168" s="2">
        <f t="shared" si="150"/>
        <v>0</v>
      </c>
      <c r="BS168" s="2">
        <f t="shared" si="150"/>
        <v>0</v>
      </c>
      <c r="BT168" s="2">
        <f t="shared" si="150"/>
        <v>0</v>
      </c>
      <c r="BU168" s="2">
        <f t="shared" si="150"/>
        <v>0</v>
      </c>
      <c r="BV168" s="2">
        <f t="shared" si="150"/>
        <v>0</v>
      </c>
      <c r="BW168" s="2">
        <f t="shared" si="150"/>
        <v>0</v>
      </c>
      <c r="BX168" s="2">
        <f t="shared" si="150"/>
        <v>0</v>
      </c>
      <c r="BY168" s="2">
        <f t="shared" si="150"/>
        <v>0</v>
      </c>
      <c r="BZ168" s="2">
        <f t="shared" si="150"/>
        <v>0</v>
      </c>
      <c r="CA168" s="2">
        <f t="shared" ref="CA168:DF168" si="151">CA177</f>
        <v>363625.96</v>
      </c>
      <c r="CB168" s="2">
        <f t="shared" si="151"/>
        <v>0</v>
      </c>
      <c r="CC168" s="2">
        <f t="shared" si="151"/>
        <v>0</v>
      </c>
      <c r="CD168" s="2">
        <f t="shared" si="151"/>
        <v>363625.96</v>
      </c>
      <c r="CE168" s="2">
        <f t="shared" si="151"/>
        <v>754.78</v>
      </c>
      <c r="CF168" s="2">
        <f t="shared" si="151"/>
        <v>754.78</v>
      </c>
      <c r="CG168" s="2">
        <f t="shared" si="151"/>
        <v>0</v>
      </c>
      <c r="CH168" s="2">
        <f t="shared" si="151"/>
        <v>754.78</v>
      </c>
      <c r="CI168" s="2">
        <f t="shared" si="151"/>
        <v>0</v>
      </c>
      <c r="CJ168" s="2">
        <f t="shared" si="151"/>
        <v>0</v>
      </c>
      <c r="CK168" s="2">
        <f t="shared" si="151"/>
        <v>0</v>
      </c>
      <c r="CL168" s="2">
        <f t="shared" si="151"/>
        <v>0</v>
      </c>
      <c r="CM168" s="2">
        <f t="shared" si="151"/>
        <v>0</v>
      </c>
      <c r="CN168" s="2">
        <f t="shared" si="151"/>
        <v>0</v>
      </c>
      <c r="CO168" s="2">
        <f t="shared" si="151"/>
        <v>0</v>
      </c>
      <c r="CP168" s="2">
        <f t="shared" si="151"/>
        <v>0</v>
      </c>
      <c r="CQ168" s="2">
        <f t="shared" si="151"/>
        <v>0</v>
      </c>
      <c r="CR168" s="2">
        <f t="shared" si="151"/>
        <v>0</v>
      </c>
      <c r="CS168" s="2">
        <f t="shared" si="151"/>
        <v>0</v>
      </c>
      <c r="CT168" s="2">
        <f t="shared" si="151"/>
        <v>0</v>
      </c>
      <c r="CU168" s="2">
        <f t="shared" si="151"/>
        <v>0</v>
      </c>
      <c r="CV168" s="2">
        <f t="shared" si="151"/>
        <v>0</v>
      </c>
      <c r="CW168" s="2">
        <f t="shared" si="151"/>
        <v>0</v>
      </c>
      <c r="CX168" s="2">
        <f t="shared" si="151"/>
        <v>0</v>
      </c>
      <c r="CY168" s="2">
        <f t="shared" si="151"/>
        <v>0</v>
      </c>
      <c r="CZ168" s="2">
        <f t="shared" si="151"/>
        <v>0</v>
      </c>
      <c r="DA168" s="2">
        <f t="shared" si="151"/>
        <v>0</v>
      </c>
      <c r="DB168" s="2">
        <f t="shared" si="151"/>
        <v>0</v>
      </c>
      <c r="DC168" s="2">
        <f t="shared" si="151"/>
        <v>0</v>
      </c>
      <c r="DD168" s="2">
        <f t="shared" si="151"/>
        <v>0</v>
      </c>
      <c r="DE168" s="2">
        <f t="shared" si="151"/>
        <v>0</v>
      </c>
      <c r="DF168" s="2">
        <f t="shared" si="151"/>
        <v>0</v>
      </c>
      <c r="DG168" s="3">
        <f t="shared" ref="DG168:EL168" si="152">DG177</f>
        <v>0</v>
      </c>
      <c r="DH168" s="3">
        <f t="shared" si="152"/>
        <v>0</v>
      </c>
      <c r="DI168" s="3">
        <f t="shared" si="152"/>
        <v>0</v>
      </c>
      <c r="DJ168" s="3">
        <f t="shared" si="152"/>
        <v>0</v>
      </c>
      <c r="DK168" s="3">
        <f t="shared" si="152"/>
        <v>0</v>
      </c>
      <c r="DL168" s="3">
        <f t="shared" si="152"/>
        <v>0</v>
      </c>
      <c r="DM168" s="3">
        <f t="shared" si="152"/>
        <v>0</v>
      </c>
      <c r="DN168" s="3">
        <f t="shared" si="152"/>
        <v>0</v>
      </c>
      <c r="DO168" s="3">
        <f t="shared" si="152"/>
        <v>0</v>
      </c>
      <c r="DP168" s="3">
        <f t="shared" si="152"/>
        <v>0</v>
      </c>
      <c r="DQ168" s="3">
        <f t="shared" si="152"/>
        <v>0</v>
      </c>
      <c r="DR168" s="3">
        <f t="shared" si="152"/>
        <v>0</v>
      </c>
      <c r="DS168" s="3">
        <f t="shared" si="152"/>
        <v>0</v>
      </c>
      <c r="DT168" s="3">
        <f t="shared" si="152"/>
        <v>0</v>
      </c>
      <c r="DU168" s="3">
        <f t="shared" si="152"/>
        <v>0</v>
      </c>
      <c r="DV168" s="3">
        <f t="shared" si="152"/>
        <v>0</v>
      </c>
      <c r="DW168" s="3">
        <f t="shared" si="152"/>
        <v>0</v>
      </c>
      <c r="DX168" s="3">
        <f t="shared" si="152"/>
        <v>0</v>
      </c>
      <c r="DY168" s="3">
        <f t="shared" si="152"/>
        <v>0</v>
      </c>
      <c r="DZ168" s="3">
        <f t="shared" si="152"/>
        <v>0</v>
      </c>
      <c r="EA168" s="3">
        <f t="shared" si="152"/>
        <v>0</v>
      </c>
      <c r="EB168" s="3">
        <f t="shared" si="152"/>
        <v>0</v>
      </c>
      <c r="EC168" s="3">
        <f t="shared" si="152"/>
        <v>0</v>
      </c>
      <c r="ED168" s="3">
        <f t="shared" si="152"/>
        <v>0</v>
      </c>
      <c r="EE168" s="3">
        <f t="shared" si="152"/>
        <v>0</v>
      </c>
      <c r="EF168" s="3">
        <f t="shared" si="152"/>
        <v>0</v>
      </c>
      <c r="EG168" s="3">
        <f t="shared" si="152"/>
        <v>0</v>
      </c>
      <c r="EH168" s="3">
        <f t="shared" si="152"/>
        <v>0</v>
      </c>
      <c r="EI168" s="3">
        <f t="shared" si="152"/>
        <v>0</v>
      </c>
      <c r="EJ168" s="3">
        <f t="shared" si="152"/>
        <v>0</v>
      </c>
      <c r="EK168" s="3">
        <f t="shared" si="152"/>
        <v>0</v>
      </c>
      <c r="EL168" s="3">
        <f t="shared" si="152"/>
        <v>0</v>
      </c>
      <c r="EM168" s="3">
        <f t="shared" ref="EM168:FR168" si="153">EM177</f>
        <v>0</v>
      </c>
      <c r="EN168" s="3">
        <f t="shared" si="153"/>
        <v>0</v>
      </c>
      <c r="EO168" s="3">
        <f t="shared" si="153"/>
        <v>0</v>
      </c>
      <c r="EP168" s="3">
        <f t="shared" si="153"/>
        <v>0</v>
      </c>
      <c r="EQ168" s="3">
        <f t="shared" si="153"/>
        <v>0</v>
      </c>
      <c r="ER168" s="3">
        <f t="shared" si="153"/>
        <v>0</v>
      </c>
      <c r="ES168" s="3">
        <f t="shared" si="153"/>
        <v>0</v>
      </c>
      <c r="ET168" s="3">
        <f t="shared" si="153"/>
        <v>0</v>
      </c>
      <c r="EU168" s="3">
        <f t="shared" si="153"/>
        <v>0</v>
      </c>
      <c r="EV168" s="3">
        <f t="shared" si="153"/>
        <v>0</v>
      </c>
      <c r="EW168" s="3">
        <f t="shared" si="153"/>
        <v>0</v>
      </c>
      <c r="EX168" s="3">
        <f t="shared" si="153"/>
        <v>0</v>
      </c>
      <c r="EY168" s="3">
        <f t="shared" si="153"/>
        <v>0</v>
      </c>
      <c r="EZ168" s="3">
        <f t="shared" si="153"/>
        <v>0</v>
      </c>
      <c r="FA168" s="3">
        <f t="shared" si="153"/>
        <v>0</v>
      </c>
      <c r="FB168" s="3">
        <f t="shared" si="153"/>
        <v>0</v>
      </c>
      <c r="FC168" s="3">
        <f t="shared" si="153"/>
        <v>0</v>
      </c>
      <c r="FD168" s="3">
        <f t="shared" si="153"/>
        <v>0</v>
      </c>
      <c r="FE168" s="3">
        <f t="shared" si="153"/>
        <v>0</v>
      </c>
      <c r="FF168" s="3">
        <f t="shared" si="153"/>
        <v>0</v>
      </c>
      <c r="FG168" s="3">
        <f t="shared" si="153"/>
        <v>0</v>
      </c>
      <c r="FH168" s="3">
        <f t="shared" si="153"/>
        <v>0</v>
      </c>
      <c r="FI168" s="3">
        <f t="shared" si="153"/>
        <v>0</v>
      </c>
      <c r="FJ168" s="3">
        <f t="shared" si="153"/>
        <v>0</v>
      </c>
      <c r="FK168" s="3">
        <f t="shared" si="153"/>
        <v>0</v>
      </c>
      <c r="FL168" s="3">
        <f t="shared" si="153"/>
        <v>0</v>
      </c>
      <c r="FM168" s="3">
        <f t="shared" si="153"/>
        <v>0</v>
      </c>
      <c r="FN168" s="3">
        <f t="shared" si="153"/>
        <v>0</v>
      </c>
      <c r="FO168" s="3">
        <f t="shared" si="153"/>
        <v>0</v>
      </c>
      <c r="FP168" s="3">
        <f t="shared" si="153"/>
        <v>0</v>
      </c>
      <c r="FQ168" s="3">
        <f t="shared" si="153"/>
        <v>0</v>
      </c>
      <c r="FR168" s="3">
        <f t="shared" si="153"/>
        <v>0</v>
      </c>
      <c r="FS168" s="3">
        <f t="shared" ref="FS168:GX168" si="154">FS177</f>
        <v>0</v>
      </c>
      <c r="FT168" s="3">
        <f t="shared" si="154"/>
        <v>0</v>
      </c>
      <c r="FU168" s="3">
        <f t="shared" si="154"/>
        <v>0</v>
      </c>
      <c r="FV168" s="3">
        <f t="shared" si="154"/>
        <v>0</v>
      </c>
      <c r="FW168" s="3">
        <f t="shared" si="154"/>
        <v>0</v>
      </c>
      <c r="FX168" s="3">
        <f t="shared" si="154"/>
        <v>0</v>
      </c>
      <c r="FY168" s="3">
        <f t="shared" si="154"/>
        <v>0</v>
      </c>
      <c r="FZ168" s="3">
        <f t="shared" si="154"/>
        <v>0</v>
      </c>
      <c r="GA168" s="3">
        <f t="shared" si="154"/>
        <v>0</v>
      </c>
      <c r="GB168" s="3">
        <f t="shared" si="154"/>
        <v>0</v>
      </c>
      <c r="GC168" s="3">
        <f t="shared" si="154"/>
        <v>0</v>
      </c>
      <c r="GD168" s="3">
        <f t="shared" si="154"/>
        <v>0</v>
      </c>
      <c r="GE168" s="3">
        <f t="shared" si="154"/>
        <v>0</v>
      </c>
      <c r="GF168" s="3">
        <f t="shared" si="154"/>
        <v>0</v>
      </c>
      <c r="GG168" s="3">
        <f t="shared" si="154"/>
        <v>0</v>
      </c>
      <c r="GH168" s="3">
        <f t="shared" si="154"/>
        <v>0</v>
      </c>
      <c r="GI168" s="3">
        <f t="shared" si="154"/>
        <v>0</v>
      </c>
      <c r="GJ168" s="3">
        <f t="shared" si="154"/>
        <v>0</v>
      </c>
      <c r="GK168" s="3">
        <f t="shared" si="154"/>
        <v>0</v>
      </c>
      <c r="GL168" s="3">
        <f t="shared" si="154"/>
        <v>0</v>
      </c>
      <c r="GM168" s="3">
        <f t="shared" si="154"/>
        <v>0</v>
      </c>
      <c r="GN168" s="3">
        <f t="shared" si="154"/>
        <v>0</v>
      </c>
      <c r="GO168" s="3">
        <f t="shared" si="154"/>
        <v>0</v>
      </c>
      <c r="GP168" s="3">
        <f t="shared" si="154"/>
        <v>0</v>
      </c>
      <c r="GQ168" s="3">
        <f t="shared" si="154"/>
        <v>0</v>
      </c>
      <c r="GR168" s="3">
        <f t="shared" si="154"/>
        <v>0</v>
      </c>
      <c r="GS168" s="3">
        <f t="shared" si="154"/>
        <v>0</v>
      </c>
      <c r="GT168" s="3">
        <f t="shared" si="154"/>
        <v>0</v>
      </c>
      <c r="GU168" s="3">
        <f t="shared" si="154"/>
        <v>0</v>
      </c>
      <c r="GV168" s="3">
        <f t="shared" si="154"/>
        <v>0</v>
      </c>
      <c r="GW168" s="3">
        <f t="shared" si="154"/>
        <v>0</v>
      </c>
      <c r="GX168" s="3">
        <f t="shared" si="154"/>
        <v>0</v>
      </c>
    </row>
    <row r="170" spans="1:245" x14ac:dyDescent="0.2">
      <c r="A170">
        <v>17</v>
      </c>
      <c r="B170">
        <v>1</v>
      </c>
      <c r="D170">
        <f>ROW(EtalonRes!A84)</f>
        <v>84</v>
      </c>
      <c r="E170" t="s">
        <v>197</v>
      </c>
      <c r="F170" t="s">
        <v>198</v>
      </c>
      <c r="G170" t="s">
        <v>199</v>
      </c>
      <c r="H170" t="s">
        <v>42</v>
      </c>
      <c r="I170">
        <v>4</v>
      </c>
      <c r="J170">
        <v>0</v>
      </c>
      <c r="K170">
        <v>4</v>
      </c>
      <c r="O170">
        <f t="shared" ref="O170:O175" si="155">ROUND(CP170,2)</f>
        <v>50074.48</v>
      </c>
      <c r="P170">
        <f t="shared" ref="P170:P175" si="156">ROUND(CQ170*I170,2)</f>
        <v>0</v>
      </c>
      <c r="Q170">
        <f t="shared" ref="Q170:Q175" si="157">ROUND(CR170*I170,2)</f>
        <v>0</v>
      </c>
      <c r="R170">
        <f t="shared" ref="R170:R175" si="158">ROUND(CS170*I170,2)</f>
        <v>0</v>
      </c>
      <c r="S170">
        <f t="shared" ref="S170:S175" si="159">ROUND(CT170*I170,2)</f>
        <v>50074.48</v>
      </c>
      <c r="T170">
        <f t="shared" ref="T170:T175" si="160">ROUND(CU170*I170,2)</f>
        <v>0</v>
      </c>
      <c r="U170">
        <f t="shared" ref="U170:U175" si="161">CV170*I170</f>
        <v>94.4</v>
      </c>
      <c r="V170">
        <f t="shared" ref="V170:V175" si="162">CW170*I170</f>
        <v>0</v>
      </c>
      <c r="W170">
        <f t="shared" ref="W170:W175" si="163">ROUND(CX170*I170,2)</f>
        <v>0</v>
      </c>
      <c r="X170">
        <f t="shared" ref="X170:Y175" si="164">ROUND(CY170,2)</f>
        <v>35052.14</v>
      </c>
      <c r="Y170">
        <f t="shared" si="164"/>
        <v>5007.45</v>
      </c>
      <c r="AA170">
        <v>1407491423</v>
      </c>
      <c r="AB170">
        <f t="shared" ref="AB170:AB175" si="165">ROUND((AC170+AD170+AF170),6)</f>
        <v>12518.62</v>
      </c>
      <c r="AC170">
        <f>ROUND(((ES170*118)),6)</f>
        <v>0</v>
      </c>
      <c r="AD170">
        <f>ROUND(((((ET170*118))-((EU170*118)))+AE170),6)</f>
        <v>0</v>
      </c>
      <c r="AE170">
        <f>ROUND(((EU170*118)),6)</f>
        <v>0</v>
      </c>
      <c r="AF170">
        <f>ROUND(((EV170*118)),6)</f>
        <v>12518.62</v>
      </c>
      <c r="AG170">
        <f t="shared" ref="AG170:AG175" si="166">ROUND((AP170),6)</f>
        <v>0</v>
      </c>
      <c r="AH170">
        <f>((EW170*118))</f>
        <v>23.6</v>
      </c>
      <c r="AI170">
        <f>((EX170*118))</f>
        <v>0</v>
      </c>
      <c r="AJ170">
        <f t="shared" ref="AJ170:AJ175" si="167">(AS170)</f>
        <v>0</v>
      </c>
      <c r="AK170">
        <v>106.09</v>
      </c>
      <c r="AL170">
        <v>0</v>
      </c>
      <c r="AM170">
        <v>0</v>
      </c>
      <c r="AN170">
        <v>0</v>
      </c>
      <c r="AO170">
        <v>106.09</v>
      </c>
      <c r="AP170">
        <v>0</v>
      </c>
      <c r="AQ170">
        <v>0.2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200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ref="CP170:CP175" si="168">(P170+Q170+S170)</f>
        <v>50074.48</v>
      </c>
      <c r="CQ170">
        <f t="shared" ref="CQ170:CQ175" si="169">(AC170*BC170*AW170)</f>
        <v>0</v>
      </c>
      <c r="CR170">
        <f>(((((ET170*118))*BB170-((EU170*118))*BS170)+AE170*BS170)*AV170)</f>
        <v>0</v>
      </c>
      <c r="CS170">
        <f t="shared" ref="CS170:CS175" si="170">(AE170*BS170*AV170)</f>
        <v>0</v>
      </c>
      <c r="CT170">
        <f t="shared" ref="CT170:CT175" si="171">(AF170*BA170*AV170)</f>
        <v>12518.62</v>
      </c>
      <c r="CU170">
        <f t="shared" ref="CU170:CU175" si="172">AG170</f>
        <v>0</v>
      </c>
      <c r="CV170">
        <f t="shared" ref="CV170:CV175" si="173">(AH170*AV170)</f>
        <v>23.6</v>
      </c>
      <c r="CW170">
        <f t="shared" ref="CW170:CX175" si="174">AI170</f>
        <v>0</v>
      </c>
      <c r="CX170">
        <f t="shared" si="174"/>
        <v>0</v>
      </c>
      <c r="CY170">
        <f t="shared" ref="CY170:CY175" si="175">((S170*BZ170)/100)</f>
        <v>35052.135999999999</v>
      </c>
      <c r="CZ170">
        <f t="shared" ref="CZ170:CZ175" si="176">((S170*CA170)/100)</f>
        <v>5007.4480000000003</v>
      </c>
      <c r="DC170" t="s">
        <v>3</v>
      </c>
      <c r="DD170" t="s">
        <v>201</v>
      </c>
      <c r="DE170" t="s">
        <v>201</v>
      </c>
      <c r="DF170" t="s">
        <v>201</v>
      </c>
      <c r="DG170" t="s">
        <v>201</v>
      </c>
      <c r="DH170" t="s">
        <v>3</v>
      </c>
      <c r="DI170" t="s">
        <v>201</v>
      </c>
      <c r="DJ170" t="s">
        <v>201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16987630</v>
      </c>
      <c r="DV170" t="s">
        <v>42</v>
      </c>
      <c r="DW170" t="s">
        <v>42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1364533919</v>
      </c>
      <c r="EF170">
        <v>1</v>
      </c>
      <c r="EG170" t="s">
        <v>21</v>
      </c>
      <c r="EH170">
        <v>0</v>
      </c>
      <c r="EI170" t="s">
        <v>3</v>
      </c>
      <c r="EJ170">
        <v>4</v>
      </c>
      <c r="EK170">
        <v>0</v>
      </c>
      <c r="EL170" t="s">
        <v>22</v>
      </c>
      <c r="EM170" t="s">
        <v>23</v>
      </c>
      <c r="EO170" t="s">
        <v>3</v>
      </c>
      <c r="EQ170">
        <v>0</v>
      </c>
      <c r="ER170">
        <v>106.09</v>
      </c>
      <c r="ES170">
        <v>0</v>
      </c>
      <c r="ET170">
        <v>0</v>
      </c>
      <c r="EU170">
        <v>0</v>
      </c>
      <c r="EV170">
        <v>106.09</v>
      </c>
      <c r="EW170">
        <v>0.2</v>
      </c>
      <c r="EX170">
        <v>0</v>
      </c>
      <c r="EY170">
        <v>0</v>
      </c>
      <c r="FQ170">
        <v>0</v>
      </c>
      <c r="FR170">
        <f t="shared" ref="FR170:FR175" si="177">ROUND(IF(BI170=3,GM170,0),2)</f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2058634285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 t="shared" ref="GL170:GL175" si="178">ROUND(IF(AND(BH170=3,BI170=3,FS170&lt;&gt;0),P170,0),2)</f>
        <v>0</v>
      </c>
      <c r="GM170">
        <f t="shared" ref="GM170:GM175" si="179">ROUND(O170+X170+Y170+GK170,2)+GX170</f>
        <v>90134.07</v>
      </c>
      <c r="GN170">
        <f t="shared" ref="GN170:GN175" si="180">IF(OR(BI170=0,BI170=1),ROUND(O170+X170+Y170+GK170,2),0)</f>
        <v>0</v>
      </c>
      <c r="GO170">
        <f t="shared" ref="GO170:GO175" si="181">IF(BI170=2,ROUND(O170+X170+Y170+GK170,2),0)</f>
        <v>0</v>
      </c>
      <c r="GP170">
        <f t="shared" ref="GP170:GP175" si="182">IF(BI170=4,ROUND(O170+X170+Y170+GK170,2)+GX170,0)</f>
        <v>90134.07</v>
      </c>
      <c r="GR170">
        <v>0</v>
      </c>
      <c r="GS170">
        <v>3</v>
      </c>
      <c r="GT170">
        <v>0</v>
      </c>
      <c r="GU170" t="s">
        <v>3</v>
      </c>
      <c r="GV170">
        <f t="shared" ref="GV170:GV175" si="183">ROUND((GT170),6)</f>
        <v>0</v>
      </c>
      <c r="GW170">
        <v>1</v>
      </c>
      <c r="GX170">
        <f t="shared" ref="GX170:GX175" si="184">ROUND(HC170*I170,2)</f>
        <v>0</v>
      </c>
      <c r="HA170">
        <v>0</v>
      </c>
      <c r="HB170">
        <v>0</v>
      </c>
      <c r="HC170">
        <f t="shared" ref="HC170:HC175" si="185">GV170*GW170</f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D171">
        <f>ROW(EtalonRes!A85)</f>
        <v>85</v>
      </c>
      <c r="E171" t="s">
        <v>202</v>
      </c>
      <c r="F171" t="s">
        <v>203</v>
      </c>
      <c r="G171" t="s">
        <v>204</v>
      </c>
      <c r="H171" t="s">
        <v>42</v>
      </c>
      <c r="I171">
        <v>4</v>
      </c>
      <c r="J171">
        <v>0</v>
      </c>
      <c r="K171">
        <v>4</v>
      </c>
      <c r="O171">
        <f t="shared" si="155"/>
        <v>3140.32</v>
      </c>
      <c r="P171">
        <f t="shared" si="156"/>
        <v>0</v>
      </c>
      <c r="Q171">
        <f t="shared" si="157"/>
        <v>0</v>
      </c>
      <c r="R171">
        <f t="shared" si="158"/>
        <v>0</v>
      </c>
      <c r="S171">
        <f t="shared" si="159"/>
        <v>3140.32</v>
      </c>
      <c r="T171">
        <f t="shared" si="160"/>
        <v>0</v>
      </c>
      <c r="U171">
        <f t="shared" si="161"/>
        <v>5.92</v>
      </c>
      <c r="V171">
        <f t="shared" si="162"/>
        <v>0</v>
      </c>
      <c r="W171">
        <f t="shared" si="163"/>
        <v>0</v>
      </c>
      <c r="X171">
        <f t="shared" si="164"/>
        <v>2198.2199999999998</v>
      </c>
      <c r="Y171">
        <f t="shared" si="164"/>
        <v>314.02999999999997</v>
      </c>
      <c r="AA171">
        <v>1407491423</v>
      </c>
      <c r="AB171">
        <f t="shared" si="165"/>
        <v>785.08</v>
      </c>
      <c r="AC171">
        <f>ROUND(((ES171*4)),6)</f>
        <v>0</v>
      </c>
      <c r="AD171">
        <f>ROUND(((((ET171*4))-((EU171*4)))+AE171),6)</f>
        <v>0</v>
      </c>
      <c r="AE171">
        <f>ROUND(((EU171*4)),6)</f>
        <v>0</v>
      </c>
      <c r="AF171">
        <f>ROUND(((EV171*4)),6)</f>
        <v>785.08</v>
      </c>
      <c r="AG171">
        <f t="shared" si="166"/>
        <v>0</v>
      </c>
      <c r="AH171">
        <f>((EW171*4))</f>
        <v>1.48</v>
      </c>
      <c r="AI171">
        <f>((EX171*4))</f>
        <v>0</v>
      </c>
      <c r="AJ171">
        <f t="shared" si="167"/>
        <v>0</v>
      </c>
      <c r="AK171">
        <v>196.27</v>
      </c>
      <c r="AL171">
        <v>0</v>
      </c>
      <c r="AM171">
        <v>0</v>
      </c>
      <c r="AN171">
        <v>0</v>
      </c>
      <c r="AO171">
        <v>196.27</v>
      </c>
      <c r="AP171">
        <v>0</v>
      </c>
      <c r="AQ171">
        <v>0.37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205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68"/>
        <v>3140.32</v>
      </c>
      <c r="CQ171">
        <f t="shared" si="169"/>
        <v>0</v>
      </c>
      <c r="CR171">
        <f>(((((ET171*4))*BB171-((EU171*4))*BS171)+AE171*BS171)*AV171)</f>
        <v>0</v>
      </c>
      <c r="CS171">
        <f t="shared" si="170"/>
        <v>0</v>
      </c>
      <c r="CT171">
        <f t="shared" si="171"/>
        <v>785.08</v>
      </c>
      <c r="CU171">
        <f t="shared" si="172"/>
        <v>0</v>
      </c>
      <c r="CV171">
        <f t="shared" si="173"/>
        <v>1.48</v>
      </c>
      <c r="CW171">
        <f t="shared" si="174"/>
        <v>0</v>
      </c>
      <c r="CX171">
        <f t="shared" si="174"/>
        <v>0</v>
      </c>
      <c r="CY171">
        <f t="shared" si="175"/>
        <v>2198.2240000000002</v>
      </c>
      <c r="CZ171">
        <f t="shared" si="176"/>
        <v>314.03199999999998</v>
      </c>
      <c r="DC171" t="s">
        <v>3</v>
      </c>
      <c r="DD171" t="s">
        <v>20</v>
      </c>
      <c r="DE171" t="s">
        <v>20</v>
      </c>
      <c r="DF171" t="s">
        <v>20</v>
      </c>
      <c r="DG171" t="s">
        <v>20</v>
      </c>
      <c r="DH171" t="s">
        <v>3</v>
      </c>
      <c r="DI171" t="s">
        <v>20</v>
      </c>
      <c r="DJ171" t="s">
        <v>20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16987630</v>
      </c>
      <c r="DV171" t="s">
        <v>42</v>
      </c>
      <c r="DW171" t="s">
        <v>42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1364533919</v>
      </c>
      <c r="EF171">
        <v>1</v>
      </c>
      <c r="EG171" t="s">
        <v>21</v>
      </c>
      <c r="EH171">
        <v>0</v>
      </c>
      <c r="EI171" t="s">
        <v>3</v>
      </c>
      <c r="EJ171">
        <v>4</v>
      </c>
      <c r="EK171">
        <v>0</v>
      </c>
      <c r="EL171" t="s">
        <v>22</v>
      </c>
      <c r="EM171" t="s">
        <v>23</v>
      </c>
      <c r="EO171" t="s">
        <v>3</v>
      </c>
      <c r="EQ171">
        <v>0</v>
      </c>
      <c r="ER171">
        <v>196.27</v>
      </c>
      <c r="ES171">
        <v>0</v>
      </c>
      <c r="ET171">
        <v>0</v>
      </c>
      <c r="EU171">
        <v>0</v>
      </c>
      <c r="EV171">
        <v>196.27</v>
      </c>
      <c r="EW171">
        <v>0.37</v>
      </c>
      <c r="EX171">
        <v>0</v>
      </c>
      <c r="EY171">
        <v>0</v>
      </c>
      <c r="FQ171">
        <v>0</v>
      </c>
      <c r="FR171">
        <f t="shared" si="177"/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-1557779106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 t="shared" si="178"/>
        <v>0</v>
      </c>
      <c r="GM171">
        <f t="shared" si="179"/>
        <v>5652.57</v>
      </c>
      <c r="GN171">
        <f t="shared" si="180"/>
        <v>0</v>
      </c>
      <c r="GO171">
        <f t="shared" si="181"/>
        <v>0</v>
      </c>
      <c r="GP171">
        <f t="shared" si="182"/>
        <v>5652.57</v>
      </c>
      <c r="GR171">
        <v>0</v>
      </c>
      <c r="GS171">
        <v>3</v>
      </c>
      <c r="GT171">
        <v>0</v>
      </c>
      <c r="GU171" t="s">
        <v>3</v>
      </c>
      <c r="GV171">
        <f t="shared" si="183"/>
        <v>0</v>
      </c>
      <c r="GW171">
        <v>1</v>
      </c>
      <c r="GX171">
        <f t="shared" si="184"/>
        <v>0</v>
      </c>
      <c r="HA171">
        <v>0</v>
      </c>
      <c r="HB171">
        <v>0</v>
      </c>
      <c r="HC171">
        <f t="shared" si="185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D172">
        <f>ROW(EtalonRes!A87)</f>
        <v>87</v>
      </c>
      <c r="E172" t="s">
        <v>206</v>
      </c>
      <c r="F172" t="s">
        <v>207</v>
      </c>
      <c r="G172" t="s">
        <v>208</v>
      </c>
      <c r="H172" t="s">
        <v>42</v>
      </c>
      <c r="I172">
        <v>551</v>
      </c>
      <c r="J172">
        <v>0</v>
      </c>
      <c r="K172">
        <v>551</v>
      </c>
      <c r="O172">
        <f t="shared" si="155"/>
        <v>128438.1</v>
      </c>
      <c r="P172">
        <f t="shared" si="156"/>
        <v>716.3</v>
      </c>
      <c r="Q172">
        <f t="shared" si="157"/>
        <v>0</v>
      </c>
      <c r="R172">
        <f t="shared" si="158"/>
        <v>0</v>
      </c>
      <c r="S172">
        <f t="shared" si="159"/>
        <v>127721.8</v>
      </c>
      <c r="T172">
        <f t="shared" si="160"/>
        <v>0</v>
      </c>
      <c r="U172">
        <f t="shared" si="161"/>
        <v>264.48</v>
      </c>
      <c r="V172">
        <f t="shared" si="162"/>
        <v>0</v>
      </c>
      <c r="W172">
        <f t="shared" si="163"/>
        <v>0</v>
      </c>
      <c r="X172">
        <f t="shared" si="164"/>
        <v>89405.26</v>
      </c>
      <c r="Y172">
        <f t="shared" si="164"/>
        <v>12772.18</v>
      </c>
      <c r="AA172">
        <v>1407491423</v>
      </c>
      <c r="AB172">
        <f t="shared" si="165"/>
        <v>233.1</v>
      </c>
      <c r="AC172">
        <f>ROUND((ES172),6)</f>
        <v>1.3</v>
      </c>
      <c r="AD172">
        <f>ROUND((((ET172)-(EU172))+AE172),6)</f>
        <v>0</v>
      </c>
      <c r="AE172">
        <f>ROUND((EU172),6)</f>
        <v>0</v>
      </c>
      <c r="AF172">
        <f>ROUND((EV172),6)</f>
        <v>231.8</v>
      </c>
      <c r="AG172">
        <f t="shared" si="166"/>
        <v>0</v>
      </c>
      <c r="AH172">
        <f>(EW172)</f>
        <v>0.48</v>
      </c>
      <c r="AI172">
        <f>(EX172)</f>
        <v>0</v>
      </c>
      <c r="AJ172">
        <f t="shared" si="167"/>
        <v>0</v>
      </c>
      <c r="AK172">
        <v>233.1</v>
      </c>
      <c r="AL172">
        <v>1.3</v>
      </c>
      <c r="AM172">
        <v>0</v>
      </c>
      <c r="AN172">
        <v>0</v>
      </c>
      <c r="AO172">
        <v>231.8</v>
      </c>
      <c r="AP172">
        <v>0</v>
      </c>
      <c r="AQ172">
        <v>0.48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209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68"/>
        <v>128438.1</v>
      </c>
      <c r="CQ172">
        <f t="shared" si="169"/>
        <v>1.3</v>
      </c>
      <c r="CR172">
        <f>((((ET172)*BB172-(EU172)*BS172)+AE172*BS172)*AV172)</f>
        <v>0</v>
      </c>
      <c r="CS172">
        <f t="shared" si="170"/>
        <v>0</v>
      </c>
      <c r="CT172">
        <f t="shared" si="171"/>
        <v>231.8</v>
      </c>
      <c r="CU172">
        <f t="shared" si="172"/>
        <v>0</v>
      </c>
      <c r="CV172">
        <f t="shared" si="173"/>
        <v>0.48</v>
      </c>
      <c r="CW172">
        <f t="shared" si="174"/>
        <v>0</v>
      </c>
      <c r="CX172">
        <f t="shared" si="174"/>
        <v>0</v>
      </c>
      <c r="CY172">
        <f t="shared" si="175"/>
        <v>89405.26</v>
      </c>
      <c r="CZ172">
        <f t="shared" si="176"/>
        <v>12772.18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16987630</v>
      </c>
      <c r="DV172" t="s">
        <v>42</v>
      </c>
      <c r="DW172" t="s">
        <v>42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1364533919</v>
      </c>
      <c r="EF172">
        <v>1</v>
      </c>
      <c r="EG172" t="s">
        <v>21</v>
      </c>
      <c r="EH172">
        <v>0</v>
      </c>
      <c r="EI172" t="s">
        <v>3</v>
      </c>
      <c r="EJ172">
        <v>4</v>
      </c>
      <c r="EK172">
        <v>0</v>
      </c>
      <c r="EL172" t="s">
        <v>22</v>
      </c>
      <c r="EM172" t="s">
        <v>23</v>
      </c>
      <c r="EO172" t="s">
        <v>3</v>
      </c>
      <c r="EQ172">
        <v>0</v>
      </c>
      <c r="ER172">
        <v>233.1</v>
      </c>
      <c r="ES172">
        <v>1.3</v>
      </c>
      <c r="ET172">
        <v>0</v>
      </c>
      <c r="EU172">
        <v>0</v>
      </c>
      <c r="EV172">
        <v>231.8</v>
      </c>
      <c r="EW172">
        <v>0.48</v>
      </c>
      <c r="EX172">
        <v>0</v>
      </c>
      <c r="EY172">
        <v>0</v>
      </c>
      <c r="FQ172">
        <v>0</v>
      </c>
      <c r="FR172">
        <f t="shared" si="177"/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-371324058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</v>
      </c>
      <c r="GL172">
        <f t="shared" si="178"/>
        <v>0</v>
      </c>
      <c r="GM172">
        <f t="shared" si="179"/>
        <v>230615.54</v>
      </c>
      <c r="GN172">
        <f t="shared" si="180"/>
        <v>0</v>
      </c>
      <c r="GO172">
        <f t="shared" si="181"/>
        <v>0</v>
      </c>
      <c r="GP172">
        <f t="shared" si="182"/>
        <v>230615.54</v>
      </c>
      <c r="GR172">
        <v>0</v>
      </c>
      <c r="GS172">
        <v>3</v>
      </c>
      <c r="GT172">
        <v>0</v>
      </c>
      <c r="GU172" t="s">
        <v>3</v>
      </c>
      <c r="GV172">
        <f t="shared" si="183"/>
        <v>0</v>
      </c>
      <c r="GW172">
        <v>1</v>
      </c>
      <c r="GX172">
        <f t="shared" si="184"/>
        <v>0</v>
      </c>
      <c r="HA172">
        <v>0</v>
      </c>
      <c r="HB172">
        <v>0</v>
      </c>
      <c r="HC172">
        <f t="shared" si="185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D173">
        <f>ROW(EtalonRes!A90)</f>
        <v>90</v>
      </c>
      <c r="E173" t="s">
        <v>210</v>
      </c>
      <c r="F173" t="s">
        <v>211</v>
      </c>
      <c r="G173" t="s">
        <v>212</v>
      </c>
      <c r="H173" t="s">
        <v>149</v>
      </c>
      <c r="I173">
        <f>ROUND(86/100,9)</f>
        <v>0.86</v>
      </c>
      <c r="J173">
        <v>0</v>
      </c>
      <c r="K173">
        <f>ROUND(86/100,9)</f>
        <v>0.86</v>
      </c>
      <c r="O173">
        <f t="shared" si="155"/>
        <v>13083.11</v>
      </c>
      <c r="P173">
        <f t="shared" si="156"/>
        <v>2.68</v>
      </c>
      <c r="Q173">
        <f t="shared" si="157"/>
        <v>3589.02</v>
      </c>
      <c r="R173">
        <f t="shared" si="158"/>
        <v>1946.73</v>
      </c>
      <c r="S173">
        <f t="shared" si="159"/>
        <v>9491.41</v>
      </c>
      <c r="T173">
        <f t="shared" si="160"/>
        <v>0</v>
      </c>
      <c r="U173">
        <f t="shared" si="161"/>
        <v>20.64</v>
      </c>
      <c r="V173">
        <f t="shared" si="162"/>
        <v>0</v>
      </c>
      <c r="W173">
        <f t="shared" si="163"/>
        <v>0</v>
      </c>
      <c r="X173">
        <f t="shared" si="164"/>
        <v>6643.99</v>
      </c>
      <c r="Y173">
        <f t="shared" si="164"/>
        <v>949.14</v>
      </c>
      <c r="AA173">
        <v>1407491423</v>
      </c>
      <c r="AB173">
        <f t="shared" si="165"/>
        <v>15212.92</v>
      </c>
      <c r="AC173">
        <f>ROUND(((ES173*4)),6)</f>
        <v>3.12</v>
      </c>
      <c r="AD173">
        <f>ROUND(((((ET173*4))-((EU173*4)))+AE173),6)</f>
        <v>4173.28</v>
      </c>
      <c r="AE173">
        <f>ROUND(((EU173*4)),6)</f>
        <v>2263.64</v>
      </c>
      <c r="AF173">
        <f>ROUND(((EV173*4)),6)</f>
        <v>11036.52</v>
      </c>
      <c r="AG173">
        <f t="shared" si="166"/>
        <v>0</v>
      </c>
      <c r="AH173">
        <f>((EW173*4))</f>
        <v>24</v>
      </c>
      <c r="AI173">
        <f>((EX173*4))</f>
        <v>0</v>
      </c>
      <c r="AJ173">
        <f t="shared" si="167"/>
        <v>0</v>
      </c>
      <c r="AK173">
        <v>3803.23</v>
      </c>
      <c r="AL173">
        <v>0.78</v>
      </c>
      <c r="AM173">
        <v>1043.32</v>
      </c>
      <c r="AN173">
        <v>565.91</v>
      </c>
      <c r="AO173">
        <v>2759.13</v>
      </c>
      <c r="AP173">
        <v>0</v>
      </c>
      <c r="AQ173">
        <v>6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213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68"/>
        <v>13083.11</v>
      </c>
      <c r="CQ173">
        <f t="shared" si="169"/>
        <v>3.12</v>
      </c>
      <c r="CR173">
        <f>(((((ET173*4))*BB173-((EU173*4))*BS173)+AE173*BS173)*AV173)</f>
        <v>4173.28</v>
      </c>
      <c r="CS173">
        <f t="shared" si="170"/>
        <v>2263.64</v>
      </c>
      <c r="CT173">
        <f t="shared" si="171"/>
        <v>11036.52</v>
      </c>
      <c r="CU173">
        <f t="shared" si="172"/>
        <v>0</v>
      </c>
      <c r="CV173">
        <f t="shared" si="173"/>
        <v>24</v>
      </c>
      <c r="CW173">
        <f t="shared" si="174"/>
        <v>0</v>
      </c>
      <c r="CX173">
        <f t="shared" si="174"/>
        <v>0</v>
      </c>
      <c r="CY173">
        <f t="shared" si="175"/>
        <v>6643.9869999999992</v>
      </c>
      <c r="CZ173">
        <f t="shared" si="176"/>
        <v>949.14100000000008</v>
      </c>
      <c r="DC173" t="s">
        <v>3</v>
      </c>
      <c r="DD173" t="s">
        <v>20</v>
      </c>
      <c r="DE173" t="s">
        <v>20</v>
      </c>
      <c r="DF173" t="s">
        <v>20</v>
      </c>
      <c r="DG173" t="s">
        <v>20</v>
      </c>
      <c r="DH173" t="s">
        <v>3</v>
      </c>
      <c r="DI173" t="s">
        <v>20</v>
      </c>
      <c r="DJ173" t="s">
        <v>20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16987630</v>
      </c>
      <c r="DV173" t="s">
        <v>149</v>
      </c>
      <c r="DW173" t="s">
        <v>149</v>
      </c>
      <c r="DX173">
        <v>100</v>
      </c>
      <c r="DZ173" t="s">
        <v>3</v>
      </c>
      <c r="EA173" t="s">
        <v>3</v>
      </c>
      <c r="EB173" t="s">
        <v>3</v>
      </c>
      <c r="EC173" t="s">
        <v>3</v>
      </c>
      <c r="EE173">
        <v>1364533919</v>
      </c>
      <c r="EF173">
        <v>1</v>
      </c>
      <c r="EG173" t="s">
        <v>21</v>
      </c>
      <c r="EH173">
        <v>0</v>
      </c>
      <c r="EI173" t="s">
        <v>3</v>
      </c>
      <c r="EJ173">
        <v>4</v>
      </c>
      <c r="EK173">
        <v>0</v>
      </c>
      <c r="EL173" t="s">
        <v>22</v>
      </c>
      <c r="EM173" t="s">
        <v>23</v>
      </c>
      <c r="EO173" t="s">
        <v>3</v>
      </c>
      <c r="EQ173">
        <v>0</v>
      </c>
      <c r="ER173">
        <v>3803.23</v>
      </c>
      <c r="ES173">
        <v>0.78</v>
      </c>
      <c r="ET173">
        <v>1043.32</v>
      </c>
      <c r="EU173">
        <v>565.91</v>
      </c>
      <c r="EV173">
        <v>2759.13</v>
      </c>
      <c r="EW173">
        <v>6</v>
      </c>
      <c r="EX173">
        <v>0</v>
      </c>
      <c r="EY173">
        <v>0</v>
      </c>
      <c r="FQ173">
        <v>0</v>
      </c>
      <c r="FR173">
        <f t="shared" si="177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1387689086</v>
      </c>
      <c r="GG173">
        <v>2</v>
      </c>
      <c r="GH173">
        <v>1</v>
      </c>
      <c r="GI173">
        <v>-2</v>
      </c>
      <c r="GJ173">
        <v>0</v>
      </c>
      <c r="GK173">
        <f>ROUND(R173*(R12)/100,2)</f>
        <v>2102.4699999999998</v>
      </c>
      <c r="GL173">
        <f t="shared" si="178"/>
        <v>0</v>
      </c>
      <c r="GM173">
        <f t="shared" si="179"/>
        <v>22778.71</v>
      </c>
      <c r="GN173">
        <f t="shared" si="180"/>
        <v>0</v>
      </c>
      <c r="GO173">
        <f t="shared" si="181"/>
        <v>0</v>
      </c>
      <c r="GP173">
        <f t="shared" si="182"/>
        <v>22778.71</v>
      </c>
      <c r="GR173">
        <v>0</v>
      </c>
      <c r="GS173">
        <v>3</v>
      </c>
      <c r="GT173">
        <v>0</v>
      </c>
      <c r="GU173" t="s">
        <v>3</v>
      </c>
      <c r="GV173">
        <f t="shared" si="183"/>
        <v>0</v>
      </c>
      <c r="GW173">
        <v>1</v>
      </c>
      <c r="GX173">
        <f t="shared" si="184"/>
        <v>0</v>
      </c>
      <c r="HA173">
        <v>0</v>
      </c>
      <c r="HB173">
        <v>0</v>
      </c>
      <c r="HC173">
        <f t="shared" si="185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D174">
        <f>ROW(EtalonRes!A92)</f>
        <v>92</v>
      </c>
      <c r="E174" t="s">
        <v>214</v>
      </c>
      <c r="F174" t="s">
        <v>215</v>
      </c>
      <c r="G174" t="s">
        <v>216</v>
      </c>
      <c r="H174" t="s">
        <v>18</v>
      </c>
      <c r="I174">
        <f>ROUND(1700*0.1/100,9)</f>
        <v>1.7</v>
      </c>
      <c r="J174">
        <v>0</v>
      </c>
      <c r="K174">
        <f>ROUND(1700*0.1/100,9)</f>
        <v>1.7</v>
      </c>
      <c r="O174">
        <f t="shared" si="155"/>
        <v>7853.34</v>
      </c>
      <c r="P174">
        <f t="shared" si="156"/>
        <v>35.799999999999997</v>
      </c>
      <c r="Q174">
        <f t="shared" si="157"/>
        <v>0</v>
      </c>
      <c r="R174">
        <f t="shared" si="158"/>
        <v>0</v>
      </c>
      <c r="S174">
        <f t="shared" si="159"/>
        <v>7817.54</v>
      </c>
      <c r="T174">
        <f t="shared" si="160"/>
        <v>0</v>
      </c>
      <c r="U174">
        <f t="shared" si="161"/>
        <v>17</v>
      </c>
      <c r="V174">
        <f t="shared" si="162"/>
        <v>0</v>
      </c>
      <c r="W174">
        <f t="shared" si="163"/>
        <v>0</v>
      </c>
      <c r="X174">
        <f t="shared" si="164"/>
        <v>5472.28</v>
      </c>
      <c r="Y174">
        <f t="shared" si="164"/>
        <v>781.75</v>
      </c>
      <c r="AA174">
        <v>1407491423</v>
      </c>
      <c r="AB174">
        <f t="shared" si="165"/>
        <v>4619.6099999999997</v>
      </c>
      <c r="AC174">
        <f>ROUND((ES174),6)</f>
        <v>21.06</v>
      </c>
      <c r="AD174">
        <f>ROUND((((ET174)-(EU174))+AE174),6)</f>
        <v>0</v>
      </c>
      <c r="AE174">
        <f>ROUND((EU174),6)</f>
        <v>0</v>
      </c>
      <c r="AF174">
        <f>ROUND((EV174),6)</f>
        <v>4598.55</v>
      </c>
      <c r="AG174">
        <f t="shared" si="166"/>
        <v>0</v>
      </c>
      <c r="AH174">
        <f>(EW174)</f>
        <v>10</v>
      </c>
      <c r="AI174">
        <f>(EX174)</f>
        <v>0</v>
      </c>
      <c r="AJ174">
        <f t="shared" si="167"/>
        <v>0</v>
      </c>
      <c r="AK174">
        <v>4619.6099999999997</v>
      </c>
      <c r="AL174">
        <v>21.06</v>
      </c>
      <c r="AM174">
        <v>0</v>
      </c>
      <c r="AN174">
        <v>0</v>
      </c>
      <c r="AO174">
        <v>4598.55</v>
      </c>
      <c r="AP174">
        <v>0</v>
      </c>
      <c r="AQ174">
        <v>10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217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68"/>
        <v>7853.34</v>
      </c>
      <c r="CQ174">
        <f t="shared" si="169"/>
        <v>21.06</v>
      </c>
      <c r="CR174">
        <f>((((ET174)*BB174-(EU174)*BS174)+AE174*BS174)*AV174)</f>
        <v>0</v>
      </c>
      <c r="CS174">
        <f t="shared" si="170"/>
        <v>0</v>
      </c>
      <c r="CT174">
        <f t="shared" si="171"/>
        <v>4598.55</v>
      </c>
      <c r="CU174">
        <f t="shared" si="172"/>
        <v>0</v>
      </c>
      <c r="CV174">
        <f t="shared" si="173"/>
        <v>10</v>
      </c>
      <c r="CW174">
        <f t="shared" si="174"/>
        <v>0</v>
      </c>
      <c r="CX174">
        <f t="shared" si="174"/>
        <v>0</v>
      </c>
      <c r="CY174">
        <f t="shared" si="175"/>
        <v>5472.2780000000002</v>
      </c>
      <c r="CZ174">
        <f t="shared" si="176"/>
        <v>781.75399999999991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1003</v>
      </c>
      <c r="DV174" t="s">
        <v>18</v>
      </c>
      <c r="DW174" t="s">
        <v>18</v>
      </c>
      <c r="DX174">
        <v>100</v>
      </c>
      <c r="DZ174" t="s">
        <v>3</v>
      </c>
      <c r="EA174" t="s">
        <v>3</v>
      </c>
      <c r="EB174" t="s">
        <v>3</v>
      </c>
      <c r="EC174" t="s">
        <v>3</v>
      </c>
      <c r="EE174">
        <v>1364533919</v>
      </c>
      <c r="EF174">
        <v>1</v>
      </c>
      <c r="EG174" t="s">
        <v>21</v>
      </c>
      <c r="EH174">
        <v>0</v>
      </c>
      <c r="EI174" t="s">
        <v>3</v>
      </c>
      <c r="EJ174">
        <v>4</v>
      </c>
      <c r="EK174">
        <v>0</v>
      </c>
      <c r="EL174" t="s">
        <v>22</v>
      </c>
      <c r="EM174" t="s">
        <v>23</v>
      </c>
      <c r="EO174" t="s">
        <v>3</v>
      </c>
      <c r="EQ174">
        <v>0</v>
      </c>
      <c r="ER174">
        <v>4619.6099999999997</v>
      </c>
      <c r="ES174">
        <v>21.06</v>
      </c>
      <c r="ET174">
        <v>0</v>
      </c>
      <c r="EU174">
        <v>0</v>
      </c>
      <c r="EV174">
        <v>4598.55</v>
      </c>
      <c r="EW174">
        <v>10</v>
      </c>
      <c r="EX174">
        <v>0</v>
      </c>
      <c r="EY174">
        <v>0</v>
      </c>
      <c r="FQ174">
        <v>0</v>
      </c>
      <c r="FR174">
        <f t="shared" si="177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1034725825</v>
      </c>
      <c r="GG174">
        <v>2</v>
      </c>
      <c r="GH174">
        <v>1</v>
      </c>
      <c r="GI174">
        <v>-2</v>
      </c>
      <c r="GJ174">
        <v>0</v>
      </c>
      <c r="GK174">
        <f>ROUND(R174*(R12)/100,2)</f>
        <v>0</v>
      </c>
      <c r="GL174">
        <f t="shared" si="178"/>
        <v>0</v>
      </c>
      <c r="GM174">
        <f t="shared" si="179"/>
        <v>14107.37</v>
      </c>
      <c r="GN174">
        <f t="shared" si="180"/>
        <v>0</v>
      </c>
      <c r="GO174">
        <f t="shared" si="181"/>
        <v>0</v>
      </c>
      <c r="GP174">
        <f t="shared" si="182"/>
        <v>14107.37</v>
      </c>
      <c r="GR174">
        <v>0</v>
      </c>
      <c r="GS174">
        <v>3</v>
      </c>
      <c r="GT174">
        <v>0</v>
      </c>
      <c r="GU174" t="s">
        <v>3</v>
      </c>
      <c r="GV174">
        <f t="shared" si="183"/>
        <v>0</v>
      </c>
      <c r="GW174">
        <v>1</v>
      </c>
      <c r="GX174">
        <f t="shared" si="184"/>
        <v>0</v>
      </c>
      <c r="HA174">
        <v>0</v>
      </c>
      <c r="HB174">
        <v>0</v>
      </c>
      <c r="HC174">
        <f t="shared" si="185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ROW(EtalonRes!A93)</f>
        <v>93</v>
      </c>
      <c r="E175" t="s">
        <v>218</v>
      </c>
      <c r="F175" t="s">
        <v>219</v>
      </c>
      <c r="G175" t="s">
        <v>220</v>
      </c>
      <c r="H175" t="s">
        <v>18</v>
      </c>
      <c r="I175">
        <f>ROUND(1700*0.1/100,9)</f>
        <v>1.7</v>
      </c>
      <c r="J175">
        <v>0</v>
      </c>
      <c r="K175">
        <f>ROUND(1700*0.1/100,9)</f>
        <v>1.7</v>
      </c>
      <c r="O175">
        <f t="shared" si="155"/>
        <v>187.61</v>
      </c>
      <c r="P175">
        <f t="shared" si="156"/>
        <v>0</v>
      </c>
      <c r="Q175">
        <f t="shared" si="157"/>
        <v>0</v>
      </c>
      <c r="R175">
        <f t="shared" si="158"/>
        <v>0</v>
      </c>
      <c r="S175">
        <f t="shared" si="159"/>
        <v>187.61</v>
      </c>
      <c r="T175">
        <f t="shared" si="160"/>
        <v>0</v>
      </c>
      <c r="U175">
        <f t="shared" si="161"/>
        <v>0.40799999999999997</v>
      </c>
      <c r="V175">
        <f t="shared" si="162"/>
        <v>0</v>
      </c>
      <c r="W175">
        <f t="shared" si="163"/>
        <v>0</v>
      </c>
      <c r="X175">
        <f t="shared" si="164"/>
        <v>131.33000000000001</v>
      </c>
      <c r="Y175">
        <f t="shared" si="164"/>
        <v>18.760000000000002</v>
      </c>
      <c r="AA175">
        <v>1407491423</v>
      </c>
      <c r="AB175">
        <f t="shared" si="165"/>
        <v>110.36</v>
      </c>
      <c r="AC175">
        <f>ROUND((ES175),6)</f>
        <v>0</v>
      </c>
      <c r="AD175">
        <f>ROUND((((ET175)-(EU175))+AE175),6)</f>
        <v>0</v>
      </c>
      <c r="AE175">
        <f>ROUND((EU175),6)</f>
        <v>0</v>
      </c>
      <c r="AF175">
        <f>ROUND((EV175),6)</f>
        <v>110.36</v>
      </c>
      <c r="AG175">
        <f t="shared" si="166"/>
        <v>0</v>
      </c>
      <c r="AH175">
        <f>(EW175)</f>
        <v>0.24</v>
      </c>
      <c r="AI175">
        <f>(EX175)</f>
        <v>0</v>
      </c>
      <c r="AJ175">
        <f t="shared" si="167"/>
        <v>0</v>
      </c>
      <c r="AK175">
        <v>110.36</v>
      </c>
      <c r="AL175">
        <v>0</v>
      </c>
      <c r="AM175">
        <v>0</v>
      </c>
      <c r="AN175">
        <v>0</v>
      </c>
      <c r="AO175">
        <v>110.36</v>
      </c>
      <c r="AP175">
        <v>0</v>
      </c>
      <c r="AQ175">
        <v>0.24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221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68"/>
        <v>187.61</v>
      </c>
      <c r="CQ175">
        <f t="shared" si="169"/>
        <v>0</v>
      </c>
      <c r="CR175">
        <f>((((ET175)*BB175-(EU175)*BS175)+AE175*BS175)*AV175)</f>
        <v>0</v>
      </c>
      <c r="CS175">
        <f t="shared" si="170"/>
        <v>0</v>
      </c>
      <c r="CT175">
        <f t="shared" si="171"/>
        <v>110.36</v>
      </c>
      <c r="CU175">
        <f t="shared" si="172"/>
        <v>0</v>
      </c>
      <c r="CV175">
        <f t="shared" si="173"/>
        <v>0.24</v>
      </c>
      <c r="CW175">
        <f t="shared" si="174"/>
        <v>0</v>
      </c>
      <c r="CX175">
        <f t="shared" si="174"/>
        <v>0</v>
      </c>
      <c r="CY175">
        <f t="shared" si="175"/>
        <v>131.327</v>
      </c>
      <c r="CZ175">
        <f t="shared" si="176"/>
        <v>18.761000000000003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18</v>
      </c>
      <c r="DW175" t="s">
        <v>18</v>
      </c>
      <c r="DX175">
        <v>100</v>
      </c>
      <c r="DZ175" t="s">
        <v>3</v>
      </c>
      <c r="EA175" t="s">
        <v>3</v>
      </c>
      <c r="EB175" t="s">
        <v>3</v>
      </c>
      <c r="EC175" t="s">
        <v>3</v>
      </c>
      <c r="EE175">
        <v>1364533919</v>
      </c>
      <c r="EF175">
        <v>1</v>
      </c>
      <c r="EG175" t="s">
        <v>21</v>
      </c>
      <c r="EH175">
        <v>0</v>
      </c>
      <c r="EI175" t="s">
        <v>3</v>
      </c>
      <c r="EJ175">
        <v>4</v>
      </c>
      <c r="EK175">
        <v>0</v>
      </c>
      <c r="EL175" t="s">
        <v>22</v>
      </c>
      <c r="EM175" t="s">
        <v>23</v>
      </c>
      <c r="EO175" t="s">
        <v>3</v>
      </c>
      <c r="EQ175">
        <v>0</v>
      </c>
      <c r="ER175">
        <v>110.36</v>
      </c>
      <c r="ES175">
        <v>0</v>
      </c>
      <c r="ET175">
        <v>0</v>
      </c>
      <c r="EU175">
        <v>0</v>
      </c>
      <c r="EV175">
        <v>110.36</v>
      </c>
      <c r="EW175">
        <v>0.24</v>
      </c>
      <c r="EX175">
        <v>0</v>
      </c>
      <c r="EY175">
        <v>0</v>
      </c>
      <c r="FQ175">
        <v>0</v>
      </c>
      <c r="FR175">
        <f t="shared" si="177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-1560634932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 t="shared" si="178"/>
        <v>0</v>
      </c>
      <c r="GM175">
        <f t="shared" si="179"/>
        <v>337.7</v>
      </c>
      <c r="GN175">
        <f t="shared" si="180"/>
        <v>0</v>
      </c>
      <c r="GO175">
        <f t="shared" si="181"/>
        <v>0</v>
      </c>
      <c r="GP175">
        <f t="shared" si="182"/>
        <v>337.7</v>
      </c>
      <c r="GR175">
        <v>0</v>
      </c>
      <c r="GS175">
        <v>3</v>
      </c>
      <c r="GT175">
        <v>0</v>
      </c>
      <c r="GU175" t="s">
        <v>3</v>
      </c>
      <c r="GV175">
        <f t="shared" si="183"/>
        <v>0</v>
      </c>
      <c r="GW175">
        <v>1</v>
      </c>
      <c r="GX175">
        <f t="shared" si="184"/>
        <v>0</v>
      </c>
      <c r="HA175">
        <v>0</v>
      </c>
      <c r="HB175">
        <v>0</v>
      </c>
      <c r="HC175">
        <f t="shared" si="185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7" spans="1:206" x14ac:dyDescent="0.2">
      <c r="A177" s="2">
        <v>51</v>
      </c>
      <c r="B177" s="2">
        <f>B166</f>
        <v>1</v>
      </c>
      <c r="C177" s="2">
        <f>A166</f>
        <v>4</v>
      </c>
      <c r="D177" s="2">
        <f>ROW(A166)</f>
        <v>166</v>
      </c>
      <c r="E177" s="2"/>
      <c r="F177" s="2" t="str">
        <f>IF(F166&lt;&gt;"",F166,"")</f>
        <v>Новый раздел</v>
      </c>
      <c r="G177" s="2" t="str">
        <f>IF(G166&lt;&gt;"",G166,"")</f>
        <v>Электроосвещение</v>
      </c>
      <c r="H177" s="2">
        <v>0</v>
      </c>
      <c r="I177" s="2"/>
      <c r="J177" s="2"/>
      <c r="K177" s="2"/>
      <c r="L177" s="2"/>
      <c r="M177" s="2"/>
      <c r="N177" s="2"/>
      <c r="O177" s="2">
        <f t="shared" ref="O177:T177" si="186">ROUND(AB177,2)</f>
        <v>202776.95999999999</v>
      </c>
      <c r="P177" s="2">
        <f t="shared" si="186"/>
        <v>754.78</v>
      </c>
      <c r="Q177" s="2">
        <f t="shared" si="186"/>
        <v>3589.02</v>
      </c>
      <c r="R177" s="2">
        <f t="shared" si="186"/>
        <v>1946.73</v>
      </c>
      <c r="S177" s="2">
        <f t="shared" si="186"/>
        <v>198433.16</v>
      </c>
      <c r="T177" s="2">
        <f t="shared" si="186"/>
        <v>0</v>
      </c>
      <c r="U177" s="2">
        <f>AH177</f>
        <v>402.84800000000001</v>
      </c>
      <c r="V177" s="2">
        <f>AI177</f>
        <v>0</v>
      </c>
      <c r="W177" s="2">
        <f>ROUND(AJ177,2)</f>
        <v>0</v>
      </c>
      <c r="X177" s="2">
        <f>ROUND(AK177,2)</f>
        <v>138903.22</v>
      </c>
      <c r="Y177" s="2">
        <f>ROUND(AL177,2)</f>
        <v>19843.310000000001</v>
      </c>
      <c r="Z177" s="2"/>
      <c r="AA177" s="2"/>
      <c r="AB177" s="2">
        <f>ROUND(SUMIF(AA170:AA175,"=1407491423",O170:O175),2)</f>
        <v>202776.95999999999</v>
      </c>
      <c r="AC177" s="2">
        <f>ROUND(SUMIF(AA170:AA175,"=1407491423",P170:P175),2)</f>
        <v>754.78</v>
      </c>
      <c r="AD177" s="2">
        <f>ROUND(SUMIF(AA170:AA175,"=1407491423",Q170:Q175),2)</f>
        <v>3589.02</v>
      </c>
      <c r="AE177" s="2">
        <f>ROUND(SUMIF(AA170:AA175,"=1407491423",R170:R175),2)</f>
        <v>1946.73</v>
      </c>
      <c r="AF177" s="2">
        <f>ROUND(SUMIF(AA170:AA175,"=1407491423",S170:S175),2)</f>
        <v>198433.16</v>
      </c>
      <c r="AG177" s="2">
        <f>ROUND(SUMIF(AA170:AA175,"=1407491423",T170:T175),2)</f>
        <v>0</v>
      </c>
      <c r="AH177" s="2">
        <f>SUMIF(AA170:AA175,"=1407491423",U170:U175)</f>
        <v>402.84800000000001</v>
      </c>
      <c r="AI177" s="2">
        <f>SUMIF(AA170:AA175,"=1407491423",V170:V175)</f>
        <v>0</v>
      </c>
      <c r="AJ177" s="2">
        <f>ROUND(SUMIF(AA170:AA175,"=1407491423",W170:W175),2)</f>
        <v>0</v>
      </c>
      <c r="AK177" s="2">
        <f>ROUND(SUMIF(AA170:AA175,"=1407491423",X170:X175),2)</f>
        <v>138903.22</v>
      </c>
      <c r="AL177" s="2">
        <f>ROUND(SUMIF(AA170:AA175,"=1407491423",Y170:Y175),2)</f>
        <v>19843.310000000001</v>
      </c>
      <c r="AM177" s="2"/>
      <c r="AN177" s="2"/>
      <c r="AO177" s="2">
        <f t="shared" ref="AO177:BD177" si="187">ROUND(BX177,2)</f>
        <v>0</v>
      </c>
      <c r="AP177" s="2">
        <f t="shared" si="187"/>
        <v>0</v>
      </c>
      <c r="AQ177" s="2">
        <f t="shared" si="187"/>
        <v>0</v>
      </c>
      <c r="AR177" s="2">
        <f t="shared" si="187"/>
        <v>363625.96</v>
      </c>
      <c r="AS177" s="2">
        <f t="shared" si="187"/>
        <v>0</v>
      </c>
      <c r="AT177" s="2">
        <f t="shared" si="187"/>
        <v>0</v>
      </c>
      <c r="AU177" s="2">
        <f t="shared" si="187"/>
        <v>363625.96</v>
      </c>
      <c r="AV177" s="2">
        <f t="shared" si="187"/>
        <v>754.78</v>
      </c>
      <c r="AW177" s="2">
        <f t="shared" si="187"/>
        <v>754.78</v>
      </c>
      <c r="AX177" s="2">
        <f t="shared" si="187"/>
        <v>0</v>
      </c>
      <c r="AY177" s="2">
        <f t="shared" si="187"/>
        <v>754.78</v>
      </c>
      <c r="AZ177" s="2">
        <f t="shared" si="187"/>
        <v>0</v>
      </c>
      <c r="BA177" s="2">
        <f t="shared" si="187"/>
        <v>0</v>
      </c>
      <c r="BB177" s="2">
        <f t="shared" si="187"/>
        <v>0</v>
      </c>
      <c r="BC177" s="2">
        <f t="shared" si="187"/>
        <v>0</v>
      </c>
      <c r="BD177" s="2">
        <f t="shared" si="187"/>
        <v>0</v>
      </c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>
        <f>ROUND(SUMIF(AA170:AA175,"=1407491423",FQ170:FQ175),2)</f>
        <v>0</v>
      </c>
      <c r="BY177" s="2">
        <f>ROUND(SUMIF(AA170:AA175,"=1407491423",FR170:FR175),2)</f>
        <v>0</v>
      </c>
      <c r="BZ177" s="2">
        <f>ROUND(SUMIF(AA170:AA175,"=1407491423",GL170:GL175),2)</f>
        <v>0</v>
      </c>
      <c r="CA177" s="2">
        <f>ROUND(SUMIF(AA170:AA175,"=1407491423",GM170:GM175),2)</f>
        <v>363625.96</v>
      </c>
      <c r="CB177" s="2">
        <f>ROUND(SUMIF(AA170:AA175,"=1407491423",GN170:GN175),2)</f>
        <v>0</v>
      </c>
      <c r="CC177" s="2">
        <f>ROUND(SUMIF(AA170:AA175,"=1407491423",GO170:GO175),2)</f>
        <v>0</v>
      </c>
      <c r="CD177" s="2">
        <f>ROUND(SUMIF(AA170:AA175,"=1407491423",GP170:GP175),2)</f>
        <v>363625.96</v>
      </c>
      <c r="CE177" s="2">
        <f>AC177-BX177</f>
        <v>754.78</v>
      </c>
      <c r="CF177" s="2">
        <f>AC177-BY177</f>
        <v>754.78</v>
      </c>
      <c r="CG177" s="2">
        <f>BX177-BZ177</f>
        <v>0</v>
      </c>
      <c r="CH177" s="2">
        <f>AC177-BX177-BY177+BZ177</f>
        <v>754.78</v>
      </c>
      <c r="CI177" s="2">
        <f>BY177-BZ177</f>
        <v>0</v>
      </c>
      <c r="CJ177" s="2">
        <f>ROUND(SUMIF(AA170:AA175,"=1407491423",GX170:GX175),2)</f>
        <v>0</v>
      </c>
      <c r="CK177" s="2">
        <f>ROUND(SUMIF(AA170:AA175,"=1407491423",GY170:GY175),2)</f>
        <v>0</v>
      </c>
      <c r="CL177" s="2">
        <f>ROUND(SUMIF(AA170:AA175,"=1407491423",GZ170:GZ175),2)</f>
        <v>0</v>
      </c>
      <c r="CM177" s="2">
        <f>ROUND(SUMIF(AA170:AA175,"=1407491423",HD170:HD175),2)</f>
        <v>0</v>
      </c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>
        <v>0</v>
      </c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201</v>
      </c>
      <c r="F179" s="4">
        <f>ROUND(Source!O177,O179)</f>
        <v>202776.95999999999</v>
      </c>
      <c r="G179" s="4" t="s">
        <v>74</v>
      </c>
      <c r="H179" s="4" t="s">
        <v>75</v>
      </c>
      <c r="I179" s="4"/>
      <c r="J179" s="4"/>
      <c r="K179" s="4">
        <v>201</v>
      </c>
      <c r="L179" s="4">
        <v>1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202776.95999999999</v>
      </c>
      <c r="X179" s="4">
        <v>1</v>
      </c>
      <c r="Y179" s="4">
        <v>202776.95999999999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202</v>
      </c>
      <c r="F180" s="4">
        <f>ROUND(Source!P177,O180)</f>
        <v>754.78</v>
      </c>
      <c r="G180" s="4" t="s">
        <v>76</v>
      </c>
      <c r="H180" s="4" t="s">
        <v>77</v>
      </c>
      <c r="I180" s="4"/>
      <c r="J180" s="4"/>
      <c r="K180" s="4">
        <v>202</v>
      </c>
      <c r="L180" s="4">
        <v>2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754.78</v>
      </c>
      <c r="X180" s="4">
        <v>1</v>
      </c>
      <c r="Y180" s="4">
        <v>754.78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222</v>
      </c>
      <c r="F181" s="4">
        <f>ROUND(Source!AO177,O181)</f>
        <v>0</v>
      </c>
      <c r="G181" s="4" t="s">
        <v>78</v>
      </c>
      <c r="H181" s="4" t="s">
        <v>79</v>
      </c>
      <c r="I181" s="4"/>
      <c r="J181" s="4"/>
      <c r="K181" s="4">
        <v>222</v>
      </c>
      <c r="L181" s="4">
        <v>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225</v>
      </c>
      <c r="F182" s="4">
        <f>ROUND(Source!AV177,O182)</f>
        <v>754.78</v>
      </c>
      <c r="G182" s="4" t="s">
        <v>80</v>
      </c>
      <c r="H182" s="4" t="s">
        <v>81</v>
      </c>
      <c r="I182" s="4"/>
      <c r="J182" s="4"/>
      <c r="K182" s="4">
        <v>225</v>
      </c>
      <c r="L182" s="4">
        <v>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754.78</v>
      </c>
      <c r="X182" s="4">
        <v>1</v>
      </c>
      <c r="Y182" s="4">
        <v>754.78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226</v>
      </c>
      <c r="F183" s="4">
        <f>ROUND(Source!AW177,O183)</f>
        <v>754.78</v>
      </c>
      <c r="G183" s="4" t="s">
        <v>82</v>
      </c>
      <c r="H183" s="4" t="s">
        <v>83</v>
      </c>
      <c r="I183" s="4"/>
      <c r="J183" s="4"/>
      <c r="K183" s="4">
        <v>226</v>
      </c>
      <c r="L183" s="4">
        <v>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754.78</v>
      </c>
      <c r="X183" s="4">
        <v>1</v>
      </c>
      <c r="Y183" s="4">
        <v>754.78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227</v>
      </c>
      <c r="F184" s="4">
        <f>ROUND(Source!AX177,O184)</f>
        <v>0</v>
      </c>
      <c r="G184" s="4" t="s">
        <v>84</v>
      </c>
      <c r="H184" s="4" t="s">
        <v>85</v>
      </c>
      <c r="I184" s="4"/>
      <c r="J184" s="4"/>
      <c r="K184" s="4">
        <v>227</v>
      </c>
      <c r="L184" s="4">
        <v>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228</v>
      </c>
      <c r="F185" s="4">
        <f>ROUND(Source!AY177,O185)</f>
        <v>754.78</v>
      </c>
      <c r="G185" s="4" t="s">
        <v>86</v>
      </c>
      <c r="H185" s="4" t="s">
        <v>87</v>
      </c>
      <c r="I185" s="4"/>
      <c r="J185" s="4"/>
      <c r="K185" s="4">
        <v>228</v>
      </c>
      <c r="L185" s="4">
        <v>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754.78</v>
      </c>
      <c r="X185" s="4">
        <v>1</v>
      </c>
      <c r="Y185" s="4">
        <v>754.78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216</v>
      </c>
      <c r="F186" s="4">
        <f>ROUND(Source!AP177,O186)</f>
        <v>0</v>
      </c>
      <c r="G186" s="4" t="s">
        <v>88</v>
      </c>
      <c r="H186" s="4" t="s">
        <v>89</v>
      </c>
      <c r="I186" s="4"/>
      <c r="J186" s="4"/>
      <c r="K186" s="4">
        <v>216</v>
      </c>
      <c r="L186" s="4">
        <v>8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223</v>
      </c>
      <c r="F187" s="4">
        <f>ROUND(Source!AQ177,O187)</f>
        <v>0</v>
      </c>
      <c r="G187" s="4" t="s">
        <v>90</v>
      </c>
      <c r="H187" s="4" t="s">
        <v>91</v>
      </c>
      <c r="I187" s="4"/>
      <c r="J187" s="4"/>
      <c r="K187" s="4">
        <v>223</v>
      </c>
      <c r="L187" s="4">
        <v>9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229</v>
      </c>
      <c r="F188" s="4">
        <f>ROUND(Source!AZ177,O188)</f>
        <v>0</v>
      </c>
      <c r="G188" s="4" t="s">
        <v>92</v>
      </c>
      <c r="H188" s="4" t="s">
        <v>93</v>
      </c>
      <c r="I188" s="4"/>
      <c r="J188" s="4"/>
      <c r="K188" s="4">
        <v>229</v>
      </c>
      <c r="L188" s="4">
        <v>10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203</v>
      </c>
      <c r="F189" s="4">
        <f>ROUND(Source!Q177,O189)</f>
        <v>3589.02</v>
      </c>
      <c r="G189" s="4" t="s">
        <v>94</v>
      </c>
      <c r="H189" s="4" t="s">
        <v>95</v>
      </c>
      <c r="I189" s="4"/>
      <c r="J189" s="4"/>
      <c r="K189" s="4">
        <v>203</v>
      </c>
      <c r="L189" s="4">
        <v>11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3589.02</v>
      </c>
      <c r="X189" s="4">
        <v>1</v>
      </c>
      <c r="Y189" s="4">
        <v>3589.02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231</v>
      </c>
      <c r="F190" s="4">
        <f>ROUND(Source!BB177,O190)</f>
        <v>0</v>
      </c>
      <c r="G190" s="4" t="s">
        <v>96</v>
      </c>
      <c r="H190" s="4" t="s">
        <v>97</v>
      </c>
      <c r="I190" s="4"/>
      <c r="J190" s="4"/>
      <c r="K190" s="4">
        <v>231</v>
      </c>
      <c r="L190" s="4">
        <v>12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204</v>
      </c>
      <c r="F191" s="4">
        <f>ROUND(Source!R177,O191)</f>
        <v>1946.73</v>
      </c>
      <c r="G191" s="4" t="s">
        <v>98</v>
      </c>
      <c r="H191" s="4" t="s">
        <v>99</v>
      </c>
      <c r="I191" s="4"/>
      <c r="J191" s="4"/>
      <c r="K191" s="4">
        <v>204</v>
      </c>
      <c r="L191" s="4">
        <v>13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1946.73</v>
      </c>
      <c r="X191" s="4">
        <v>1</v>
      </c>
      <c r="Y191" s="4">
        <v>1946.73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205</v>
      </c>
      <c r="F192" s="4">
        <f>ROUND(Source!S177,O192)</f>
        <v>198433.16</v>
      </c>
      <c r="G192" s="4" t="s">
        <v>100</v>
      </c>
      <c r="H192" s="4" t="s">
        <v>101</v>
      </c>
      <c r="I192" s="4"/>
      <c r="J192" s="4"/>
      <c r="K192" s="4">
        <v>205</v>
      </c>
      <c r="L192" s="4">
        <v>14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198433.16</v>
      </c>
      <c r="X192" s="4">
        <v>1</v>
      </c>
      <c r="Y192" s="4">
        <v>198433.16</v>
      </c>
      <c r="Z192" s="4"/>
      <c r="AA192" s="4"/>
      <c r="AB192" s="4"/>
    </row>
    <row r="193" spans="1:88" x14ac:dyDescent="0.2">
      <c r="A193" s="4">
        <v>50</v>
      </c>
      <c r="B193" s="4">
        <v>0</v>
      </c>
      <c r="C193" s="4">
        <v>0</v>
      </c>
      <c r="D193" s="4">
        <v>1</v>
      </c>
      <c r="E193" s="4">
        <v>232</v>
      </c>
      <c r="F193" s="4">
        <f>ROUND(Source!BC177,O193)</f>
        <v>0</v>
      </c>
      <c r="G193" s="4" t="s">
        <v>102</v>
      </c>
      <c r="H193" s="4" t="s">
        <v>103</v>
      </c>
      <c r="I193" s="4"/>
      <c r="J193" s="4"/>
      <c r="K193" s="4">
        <v>232</v>
      </c>
      <c r="L193" s="4">
        <v>15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88" x14ac:dyDescent="0.2">
      <c r="A194" s="4">
        <v>50</v>
      </c>
      <c r="B194" s="4">
        <v>0</v>
      </c>
      <c r="C194" s="4">
        <v>0</v>
      </c>
      <c r="D194" s="4">
        <v>1</v>
      </c>
      <c r="E194" s="4">
        <v>214</v>
      </c>
      <c r="F194" s="4">
        <f>ROUND(Source!AS177,O194)</f>
        <v>0</v>
      </c>
      <c r="G194" s="4" t="s">
        <v>104</v>
      </c>
      <c r="H194" s="4" t="s">
        <v>105</v>
      </c>
      <c r="I194" s="4"/>
      <c r="J194" s="4"/>
      <c r="K194" s="4">
        <v>214</v>
      </c>
      <c r="L194" s="4">
        <v>16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88" x14ac:dyDescent="0.2">
      <c r="A195" s="4">
        <v>50</v>
      </c>
      <c r="B195" s="4">
        <v>0</v>
      </c>
      <c r="C195" s="4">
        <v>0</v>
      </c>
      <c r="D195" s="4">
        <v>1</v>
      </c>
      <c r="E195" s="4">
        <v>215</v>
      </c>
      <c r="F195" s="4">
        <f>ROUND(Source!AT177,O195)</f>
        <v>0</v>
      </c>
      <c r="G195" s="4" t="s">
        <v>106</v>
      </c>
      <c r="H195" s="4" t="s">
        <v>107</v>
      </c>
      <c r="I195" s="4"/>
      <c r="J195" s="4"/>
      <c r="K195" s="4">
        <v>215</v>
      </c>
      <c r="L195" s="4">
        <v>17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88" x14ac:dyDescent="0.2">
      <c r="A196" s="4">
        <v>50</v>
      </c>
      <c r="B196" s="4">
        <v>0</v>
      </c>
      <c r="C196" s="4">
        <v>0</v>
      </c>
      <c r="D196" s="4">
        <v>1</v>
      </c>
      <c r="E196" s="4">
        <v>217</v>
      </c>
      <c r="F196" s="4">
        <f>ROUND(Source!AU177,O196)</f>
        <v>363625.96</v>
      </c>
      <c r="G196" s="4" t="s">
        <v>108</v>
      </c>
      <c r="H196" s="4" t="s">
        <v>109</v>
      </c>
      <c r="I196" s="4"/>
      <c r="J196" s="4"/>
      <c r="K196" s="4">
        <v>217</v>
      </c>
      <c r="L196" s="4">
        <v>18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363625.96</v>
      </c>
      <c r="X196" s="4">
        <v>1</v>
      </c>
      <c r="Y196" s="4">
        <v>363625.96</v>
      </c>
      <c r="Z196" s="4"/>
      <c r="AA196" s="4"/>
      <c r="AB196" s="4"/>
    </row>
    <row r="197" spans="1:88" x14ac:dyDescent="0.2">
      <c r="A197" s="4">
        <v>50</v>
      </c>
      <c r="B197" s="4">
        <v>0</v>
      </c>
      <c r="C197" s="4">
        <v>0</v>
      </c>
      <c r="D197" s="4">
        <v>1</v>
      </c>
      <c r="E197" s="4">
        <v>230</v>
      </c>
      <c r="F197" s="4">
        <f>ROUND(Source!BA177,O197)</f>
        <v>0</v>
      </c>
      <c r="G197" s="4" t="s">
        <v>110</v>
      </c>
      <c r="H197" s="4" t="s">
        <v>111</v>
      </c>
      <c r="I197" s="4"/>
      <c r="J197" s="4"/>
      <c r="K197" s="4">
        <v>230</v>
      </c>
      <c r="L197" s="4">
        <v>19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88" x14ac:dyDescent="0.2">
      <c r="A198" s="4">
        <v>50</v>
      </c>
      <c r="B198" s="4">
        <v>0</v>
      </c>
      <c r="C198" s="4">
        <v>0</v>
      </c>
      <c r="D198" s="4">
        <v>1</v>
      </c>
      <c r="E198" s="4">
        <v>206</v>
      </c>
      <c r="F198" s="4">
        <f>ROUND(Source!T177,O198)</f>
        <v>0</v>
      </c>
      <c r="G198" s="4" t="s">
        <v>112</v>
      </c>
      <c r="H198" s="4" t="s">
        <v>113</v>
      </c>
      <c r="I198" s="4"/>
      <c r="J198" s="4"/>
      <c r="K198" s="4">
        <v>206</v>
      </c>
      <c r="L198" s="4">
        <v>20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88" x14ac:dyDescent="0.2">
      <c r="A199" s="4">
        <v>50</v>
      </c>
      <c r="B199" s="4">
        <v>0</v>
      </c>
      <c r="C199" s="4">
        <v>0</v>
      </c>
      <c r="D199" s="4">
        <v>1</v>
      </c>
      <c r="E199" s="4">
        <v>207</v>
      </c>
      <c r="F199" s="4">
        <f>Source!U177</f>
        <v>402.84800000000001</v>
      </c>
      <c r="G199" s="4" t="s">
        <v>114</v>
      </c>
      <c r="H199" s="4" t="s">
        <v>115</v>
      </c>
      <c r="I199" s="4"/>
      <c r="J199" s="4"/>
      <c r="K199" s="4">
        <v>207</v>
      </c>
      <c r="L199" s="4">
        <v>21</v>
      </c>
      <c r="M199" s="4">
        <v>3</v>
      </c>
      <c r="N199" s="4" t="s">
        <v>3</v>
      </c>
      <c r="O199" s="4">
        <v>-1</v>
      </c>
      <c r="P199" s="4"/>
      <c r="Q199" s="4"/>
      <c r="R199" s="4"/>
      <c r="S199" s="4"/>
      <c r="T199" s="4"/>
      <c r="U199" s="4"/>
      <c r="V199" s="4"/>
      <c r="W199" s="4">
        <v>402.84800000000001</v>
      </c>
      <c r="X199" s="4">
        <v>1</v>
      </c>
      <c r="Y199" s="4">
        <v>402.84800000000001</v>
      </c>
      <c r="Z199" s="4"/>
      <c r="AA199" s="4"/>
      <c r="AB199" s="4"/>
    </row>
    <row r="200" spans="1:88" x14ac:dyDescent="0.2">
      <c r="A200" s="4">
        <v>50</v>
      </c>
      <c r="B200" s="4">
        <v>0</v>
      </c>
      <c r="C200" s="4">
        <v>0</v>
      </c>
      <c r="D200" s="4">
        <v>1</v>
      </c>
      <c r="E200" s="4">
        <v>208</v>
      </c>
      <c r="F200" s="4">
        <f>Source!V177</f>
        <v>0</v>
      </c>
      <c r="G200" s="4" t="s">
        <v>116</v>
      </c>
      <c r="H200" s="4" t="s">
        <v>117</v>
      </c>
      <c r="I200" s="4"/>
      <c r="J200" s="4"/>
      <c r="K200" s="4">
        <v>208</v>
      </c>
      <c r="L200" s="4">
        <v>22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88" x14ac:dyDescent="0.2">
      <c r="A201" s="4">
        <v>50</v>
      </c>
      <c r="B201" s="4">
        <v>0</v>
      </c>
      <c r="C201" s="4">
        <v>0</v>
      </c>
      <c r="D201" s="4">
        <v>1</v>
      </c>
      <c r="E201" s="4">
        <v>209</v>
      </c>
      <c r="F201" s="4">
        <f>ROUND(Source!W177,O201)</f>
        <v>0</v>
      </c>
      <c r="G201" s="4" t="s">
        <v>118</v>
      </c>
      <c r="H201" s="4" t="s">
        <v>119</v>
      </c>
      <c r="I201" s="4"/>
      <c r="J201" s="4"/>
      <c r="K201" s="4">
        <v>209</v>
      </c>
      <c r="L201" s="4">
        <v>23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88" x14ac:dyDescent="0.2">
      <c r="A202" s="4">
        <v>50</v>
      </c>
      <c r="B202" s="4">
        <v>0</v>
      </c>
      <c r="C202" s="4">
        <v>0</v>
      </c>
      <c r="D202" s="4">
        <v>1</v>
      </c>
      <c r="E202" s="4">
        <v>233</v>
      </c>
      <c r="F202" s="4">
        <f>ROUND(Source!BD177,O202)</f>
        <v>0</v>
      </c>
      <c r="G202" s="4" t="s">
        <v>120</v>
      </c>
      <c r="H202" s="4" t="s">
        <v>121</v>
      </c>
      <c r="I202" s="4"/>
      <c r="J202" s="4"/>
      <c r="K202" s="4">
        <v>233</v>
      </c>
      <c r="L202" s="4">
        <v>24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88" x14ac:dyDescent="0.2">
      <c r="A203" s="4">
        <v>50</v>
      </c>
      <c r="B203" s="4">
        <v>0</v>
      </c>
      <c r="C203" s="4">
        <v>0</v>
      </c>
      <c r="D203" s="4">
        <v>1</v>
      </c>
      <c r="E203" s="4">
        <v>210</v>
      </c>
      <c r="F203" s="4">
        <f>ROUND(Source!X177,O203)</f>
        <v>138903.22</v>
      </c>
      <c r="G203" s="4" t="s">
        <v>122</v>
      </c>
      <c r="H203" s="4" t="s">
        <v>123</v>
      </c>
      <c r="I203" s="4"/>
      <c r="J203" s="4"/>
      <c r="K203" s="4">
        <v>210</v>
      </c>
      <c r="L203" s="4">
        <v>25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138903.22</v>
      </c>
      <c r="X203" s="4">
        <v>1</v>
      </c>
      <c r="Y203" s="4">
        <v>138903.22</v>
      </c>
      <c r="Z203" s="4"/>
      <c r="AA203" s="4"/>
      <c r="AB203" s="4"/>
    </row>
    <row r="204" spans="1:88" x14ac:dyDescent="0.2">
      <c r="A204" s="4">
        <v>50</v>
      </c>
      <c r="B204" s="4">
        <v>0</v>
      </c>
      <c r="C204" s="4">
        <v>0</v>
      </c>
      <c r="D204" s="4">
        <v>1</v>
      </c>
      <c r="E204" s="4">
        <v>211</v>
      </c>
      <c r="F204" s="4">
        <f>ROUND(Source!Y177,O204)</f>
        <v>19843.310000000001</v>
      </c>
      <c r="G204" s="4" t="s">
        <v>124</v>
      </c>
      <c r="H204" s="4" t="s">
        <v>125</v>
      </c>
      <c r="I204" s="4"/>
      <c r="J204" s="4"/>
      <c r="K204" s="4">
        <v>211</v>
      </c>
      <c r="L204" s="4">
        <v>26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19843.310000000001</v>
      </c>
      <c r="X204" s="4">
        <v>1</v>
      </c>
      <c r="Y204" s="4">
        <v>19843.310000000001</v>
      </c>
      <c r="Z204" s="4"/>
      <c r="AA204" s="4"/>
      <c r="AB204" s="4"/>
    </row>
    <row r="205" spans="1:88" x14ac:dyDescent="0.2">
      <c r="A205" s="4">
        <v>50</v>
      </c>
      <c r="B205" s="4">
        <v>0</v>
      </c>
      <c r="C205" s="4">
        <v>0</v>
      </c>
      <c r="D205" s="4">
        <v>1</v>
      </c>
      <c r="E205" s="4">
        <v>224</v>
      </c>
      <c r="F205" s="4">
        <f>ROUND(Source!AR177,O205)</f>
        <v>363625.96</v>
      </c>
      <c r="G205" s="4" t="s">
        <v>126</v>
      </c>
      <c r="H205" s="4" t="s">
        <v>127</v>
      </c>
      <c r="I205" s="4"/>
      <c r="J205" s="4"/>
      <c r="K205" s="4">
        <v>224</v>
      </c>
      <c r="L205" s="4">
        <v>27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363625.96</v>
      </c>
      <c r="X205" s="4">
        <v>1</v>
      </c>
      <c r="Y205" s="4">
        <v>363625.96</v>
      </c>
      <c r="Z205" s="4"/>
      <c r="AA205" s="4"/>
      <c r="AB205" s="4"/>
    </row>
    <row r="207" spans="1:88" x14ac:dyDescent="0.2">
      <c r="A207" s="1">
        <v>4</v>
      </c>
      <c r="B207" s="1">
        <v>1</v>
      </c>
      <c r="C207" s="1"/>
      <c r="D207" s="1">
        <f>ROW(A231)</f>
        <v>231</v>
      </c>
      <c r="E207" s="1"/>
      <c r="F207" s="1" t="s">
        <v>13</v>
      </c>
      <c r="G207" s="1" t="s">
        <v>222</v>
      </c>
      <c r="H207" s="1" t="s">
        <v>3</v>
      </c>
      <c r="I207" s="1">
        <v>0</v>
      </c>
      <c r="J207" s="1"/>
      <c r="K207" s="1">
        <v>0</v>
      </c>
      <c r="L207" s="1"/>
      <c r="M207" s="1" t="s">
        <v>3</v>
      </c>
      <c r="N207" s="1"/>
      <c r="O207" s="1"/>
      <c r="P207" s="1"/>
      <c r="Q207" s="1"/>
      <c r="R207" s="1"/>
      <c r="S207" s="1">
        <v>0</v>
      </c>
      <c r="T207" s="1"/>
      <c r="U207" s="1" t="s">
        <v>3</v>
      </c>
      <c r="V207" s="1">
        <v>0</v>
      </c>
      <c r="W207" s="1"/>
      <c r="X207" s="1"/>
      <c r="Y207" s="1"/>
      <c r="Z207" s="1"/>
      <c r="AA207" s="1"/>
      <c r="AB207" s="1" t="s">
        <v>3</v>
      </c>
      <c r="AC207" s="1" t="s">
        <v>3</v>
      </c>
      <c r="AD207" s="1" t="s">
        <v>3</v>
      </c>
      <c r="AE207" s="1" t="s">
        <v>3</v>
      </c>
      <c r="AF207" s="1" t="s">
        <v>3</v>
      </c>
      <c r="AG207" s="1" t="s">
        <v>3</v>
      </c>
      <c r="AH207" s="1"/>
      <c r="AI207" s="1"/>
      <c r="AJ207" s="1"/>
      <c r="AK207" s="1"/>
      <c r="AL207" s="1"/>
      <c r="AM207" s="1"/>
      <c r="AN207" s="1"/>
      <c r="AO207" s="1"/>
      <c r="AP207" s="1" t="s">
        <v>3</v>
      </c>
      <c r="AQ207" s="1" t="s">
        <v>3</v>
      </c>
      <c r="AR207" s="1" t="s">
        <v>3</v>
      </c>
      <c r="AS207" s="1"/>
      <c r="AT207" s="1"/>
      <c r="AU207" s="1"/>
      <c r="AV207" s="1"/>
      <c r="AW207" s="1"/>
      <c r="AX207" s="1"/>
      <c r="AY207" s="1"/>
      <c r="AZ207" s="1" t="s">
        <v>3</v>
      </c>
      <c r="BA207" s="1"/>
      <c r="BB207" s="1" t="s">
        <v>3</v>
      </c>
      <c r="BC207" s="1" t="s">
        <v>3</v>
      </c>
      <c r="BD207" s="1" t="s">
        <v>3</v>
      </c>
      <c r="BE207" s="1" t="s">
        <v>3</v>
      </c>
      <c r="BF207" s="1" t="s">
        <v>3</v>
      </c>
      <c r="BG207" s="1" t="s">
        <v>3</v>
      </c>
      <c r="BH207" s="1" t="s">
        <v>3</v>
      </c>
      <c r="BI207" s="1" t="s">
        <v>3</v>
      </c>
      <c r="BJ207" s="1" t="s">
        <v>3</v>
      </c>
      <c r="BK207" s="1" t="s">
        <v>3</v>
      </c>
      <c r="BL207" s="1" t="s">
        <v>3</v>
      </c>
      <c r="BM207" s="1" t="s">
        <v>3</v>
      </c>
      <c r="BN207" s="1" t="s">
        <v>3</v>
      </c>
      <c r="BO207" s="1" t="s">
        <v>3</v>
      </c>
      <c r="BP207" s="1" t="s">
        <v>3</v>
      </c>
      <c r="BQ207" s="1"/>
      <c r="BR207" s="1"/>
      <c r="BS207" s="1"/>
      <c r="BT207" s="1"/>
      <c r="BU207" s="1"/>
      <c r="BV207" s="1"/>
      <c r="BW207" s="1"/>
      <c r="BX207" s="1">
        <v>0</v>
      </c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>
        <v>0</v>
      </c>
    </row>
    <row r="209" spans="1:245" x14ac:dyDescent="0.2">
      <c r="A209" s="2">
        <v>52</v>
      </c>
      <c r="B209" s="2">
        <f t="shared" ref="B209:G209" si="188">B231</f>
        <v>1</v>
      </c>
      <c r="C209" s="2">
        <f t="shared" si="188"/>
        <v>4</v>
      </c>
      <c r="D209" s="2">
        <f t="shared" si="188"/>
        <v>207</v>
      </c>
      <c r="E209" s="2">
        <f t="shared" si="188"/>
        <v>0</v>
      </c>
      <c r="F209" s="2" t="str">
        <f t="shared" si="188"/>
        <v>Новый раздел</v>
      </c>
      <c r="G209" s="2" t="str">
        <f t="shared" si="188"/>
        <v>Электроснабжение</v>
      </c>
      <c r="H209" s="2"/>
      <c r="I209" s="2"/>
      <c r="J209" s="2"/>
      <c r="K209" s="2"/>
      <c r="L209" s="2"/>
      <c r="M209" s="2"/>
      <c r="N209" s="2"/>
      <c r="O209" s="2">
        <f t="shared" ref="O209:AT209" si="189">O231</f>
        <v>303374.14</v>
      </c>
      <c r="P209" s="2">
        <f t="shared" si="189"/>
        <v>361.58</v>
      </c>
      <c r="Q209" s="2">
        <f t="shared" si="189"/>
        <v>17440.04</v>
      </c>
      <c r="R209" s="2">
        <f t="shared" si="189"/>
        <v>9458.7800000000007</v>
      </c>
      <c r="S209" s="2">
        <f t="shared" si="189"/>
        <v>285572.52</v>
      </c>
      <c r="T209" s="2">
        <f t="shared" si="189"/>
        <v>0</v>
      </c>
      <c r="U209" s="2">
        <f t="shared" si="189"/>
        <v>560.7124</v>
      </c>
      <c r="V209" s="2">
        <f t="shared" si="189"/>
        <v>0</v>
      </c>
      <c r="W209" s="2">
        <f t="shared" si="189"/>
        <v>0</v>
      </c>
      <c r="X209" s="2">
        <f t="shared" si="189"/>
        <v>199900.77</v>
      </c>
      <c r="Y209" s="2">
        <f t="shared" si="189"/>
        <v>28557.26</v>
      </c>
      <c r="Z209" s="2">
        <f t="shared" si="189"/>
        <v>0</v>
      </c>
      <c r="AA209" s="2">
        <f t="shared" si="189"/>
        <v>0</v>
      </c>
      <c r="AB209" s="2">
        <f t="shared" si="189"/>
        <v>303374.14</v>
      </c>
      <c r="AC209" s="2">
        <f t="shared" si="189"/>
        <v>361.58</v>
      </c>
      <c r="AD209" s="2">
        <f t="shared" si="189"/>
        <v>17440.04</v>
      </c>
      <c r="AE209" s="2">
        <f t="shared" si="189"/>
        <v>9458.7800000000007</v>
      </c>
      <c r="AF209" s="2">
        <f t="shared" si="189"/>
        <v>285572.52</v>
      </c>
      <c r="AG209" s="2">
        <f t="shared" si="189"/>
        <v>0</v>
      </c>
      <c r="AH209" s="2">
        <f t="shared" si="189"/>
        <v>560.7124</v>
      </c>
      <c r="AI209" s="2">
        <f t="shared" si="189"/>
        <v>0</v>
      </c>
      <c r="AJ209" s="2">
        <f t="shared" si="189"/>
        <v>0</v>
      </c>
      <c r="AK209" s="2">
        <f t="shared" si="189"/>
        <v>199900.77</v>
      </c>
      <c r="AL209" s="2">
        <f t="shared" si="189"/>
        <v>28557.26</v>
      </c>
      <c r="AM209" s="2">
        <f t="shared" si="189"/>
        <v>0</v>
      </c>
      <c r="AN209" s="2">
        <f t="shared" si="189"/>
        <v>0</v>
      </c>
      <c r="AO209" s="2">
        <f t="shared" si="189"/>
        <v>0</v>
      </c>
      <c r="AP209" s="2">
        <f t="shared" si="189"/>
        <v>0</v>
      </c>
      <c r="AQ209" s="2">
        <f t="shared" si="189"/>
        <v>0</v>
      </c>
      <c r="AR209" s="2">
        <f t="shared" si="189"/>
        <v>542047.65</v>
      </c>
      <c r="AS209" s="2">
        <f t="shared" si="189"/>
        <v>0</v>
      </c>
      <c r="AT209" s="2">
        <f t="shared" si="189"/>
        <v>0</v>
      </c>
      <c r="AU209" s="2">
        <f t="shared" ref="AU209:BZ209" si="190">AU231</f>
        <v>542047.65</v>
      </c>
      <c r="AV209" s="2">
        <f t="shared" si="190"/>
        <v>361.58</v>
      </c>
      <c r="AW209" s="2">
        <f t="shared" si="190"/>
        <v>361.58</v>
      </c>
      <c r="AX209" s="2">
        <f t="shared" si="190"/>
        <v>0</v>
      </c>
      <c r="AY209" s="2">
        <f t="shared" si="190"/>
        <v>361.58</v>
      </c>
      <c r="AZ209" s="2">
        <f t="shared" si="190"/>
        <v>0</v>
      </c>
      <c r="BA209" s="2">
        <f t="shared" si="190"/>
        <v>0</v>
      </c>
      <c r="BB209" s="2">
        <f t="shared" si="190"/>
        <v>0</v>
      </c>
      <c r="BC209" s="2">
        <f t="shared" si="190"/>
        <v>0</v>
      </c>
      <c r="BD209" s="2">
        <f t="shared" si="190"/>
        <v>0</v>
      </c>
      <c r="BE209" s="2">
        <f t="shared" si="190"/>
        <v>0</v>
      </c>
      <c r="BF209" s="2">
        <f t="shared" si="190"/>
        <v>0</v>
      </c>
      <c r="BG209" s="2">
        <f t="shared" si="190"/>
        <v>0</v>
      </c>
      <c r="BH209" s="2">
        <f t="shared" si="190"/>
        <v>0</v>
      </c>
      <c r="BI209" s="2">
        <f t="shared" si="190"/>
        <v>0</v>
      </c>
      <c r="BJ209" s="2">
        <f t="shared" si="190"/>
        <v>0</v>
      </c>
      <c r="BK209" s="2">
        <f t="shared" si="190"/>
        <v>0</v>
      </c>
      <c r="BL209" s="2">
        <f t="shared" si="190"/>
        <v>0</v>
      </c>
      <c r="BM209" s="2">
        <f t="shared" si="190"/>
        <v>0</v>
      </c>
      <c r="BN209" s="2">
        <f t="shared" si="190"/>
        <v>0</v>
      </c>
      <c r="BO209" s="2">
        <f t="shared" si="190"/>
        <v>0</v>
      </c>
      <c r="BP209" s="2">
        <f t="shared" si="190"/>
        <v>0</v>
      </c>
      <c r="BQ209" s="2">
        <f t="shared" si="190"/>
        <v>0</v>
      </c>
      <c r="BR209" s="2">
        <f t="shared" si="190"/>
        <v>0</v>
      </c>
      <c r="BS209" s="2">
        <f t="shared" si="190"/>
        <v>0</v>
      </c>
      <c r="BT209" s="2">
        <f t="shared" si="190"/>
        <v>0</v>
      </c>
      <c r="BU209" s="2">
        <f t="shared" si="190"/>
        <v>0</v>
      </c>
      <c r="BV209" s="2">
        <f t="shared" si="190"/>
        <v>0</v>
      </c>
      <c r="BW209" s="2">
        <f t="shared" si="190"/>
        <v>0</v>
      </c>
      <c r="BX209" s="2">
        <f t="shared" si="190"/>
        <v>0</v>
      </c>
      <c r="BY209" s="2">
        <f t="shared" si="190"/>
        <v>0</v>
      </c>
      <c r="BZ209" s="2">
        <f t="shared" si="190"/>
        <v>0</v>
      </c>
      <c r="CA209" s="2">
        <f t="shared" ref="CA209:DF209" si="191">CA231</f>
        <v>542047.65</v>
      </c>
      <c r="CB209" s="2">
        <f t="shared" si="191"/>
        <v>0</v>
      </c>
      <c r="CC209" s="2">
        <f t="shared" si="191"/>
        <v>0</v>
      </c>
      <c r="CD209" s="2">
        <f t="shared" si="191"/>
        <v>542047.65</v>
      </c>
      <c r="CE209" s="2">
        <f t="shared" si="191"/>
        <v>361.58</v>
      </c>
      <c r="CF209" s="2">
        <f t="shared" si="191"/>
        <v>361.58</v>
      </c>
      <c r="CG209" s="2">
        <f t="shared" si="191"/>
        <v>0</v>
      </c>
      <c r="CH209" s="2">
        <f t="shared" si="191"/>
        <v>361.58</v>
      </c>
      <c r="CI209" s="2">
        <f t="shared" si="191"/>
        <v>0</v>
      </c>
      <c r="CJ209" s="2">
        <f t="shared" si="191"/>
        <v>0</v>
      </c>
      <c r="CK209" s="2">
        <f t="shared" si="191"/>
        <v>0</v>
      </c>
      <c r="CL209" s="2">
        <f t="shared" si="191"/>
        <v>0</v>
      </c>
      <c r="CM209" s="2">
        <f t="shared" si="191"/>
        <v>0</v>
      </c>
      <c r="CN209" s="2">
        <f t="shared" si="191"/>
        <v>0</v>
      </c>
      <c r="CO209" s="2">
        <f t="shared" si="191"/>
        <v>0</v>
      </c>
      <c r="CP209" s="2">
        <f t="shared" si="191"/>
        <v>0</v>
      </c>
      <c r="CQ209" s="2">
        <f t="shared" si="191"/>
        <v>0</v>
      </c>
      <c r="CR209" s="2">
        <f t="shared" si="191"/>
        <v>0</v>
      </c>
      <c r="CS209" s="2">
        <f t="shared" si="191"/>
        <v>0</v>
      </c>
      <c r="CT209" s="2">
        <f t="shared" si="191"/>
        <v>0</v>
      </c>
      <c r="CU209" s="2">
        <f t="shared" si="191"/>
        <v>0</v>
      </c>
      <c r="CV209" s="2">
        <f t="shared" si="191"/>
        <v>0</v>
      </c>
      <c r="CW209" s="2">
        <f t="shared" si="191"/>
        <v>0</v>
      </c>
      <c r="CX209" s="2">
        <f t="shared" si="191"/>
        <v>0</v>
      </c>
      <c r="CY209" s="2">
        <f t="shared" si="191"/>
        <v>0</v>
      </c>
      <c r="CZ209" s="2">
        <f t="shared" si="191"/>
        <v>0</v>
      </c>
      <c r="DA209" s="2">
        <f t="shared" si="191"/>
        <v>0</v>
      </c>
      <c r="DB209" s="2">
        <f t="shared" si="191"/>
        <v>0</v>
      </c>
      <c r="DC209" s="2">
        <f t="shared" si="191"/>
        <v>0</v>
      </c>
      <c r="DD209" s="2">
        <f t="shared" si="191"/>
        <v>0</v>
      </c>
      <c r="DE209" s="2">
        <f t="shared" si="191"/>
        <v>0</v>
      </c>
      <c r="DF209" s="2">
        <f t="shared" si="191"/>
        <v>0</v>
      </c>
      <c r="DG209" s="3">
        <f t="shared" ref="DG209:EL209" si="192">DG231</f>
        <v>0</v>
      </c>
      <c r="DH209" s="3">
        <f t="shared" si="192"/>
        <v>0</v>
      </c>
      <c r="DI209" s="3">
        <f t="shared" si="192"/>
        <v>0</v>
      </c>
      <c r="DJ209" s="3">
        <f t="shared" si="192"/>
        <v>0</v>
      </c>
      <c r="DK209" s="3">
        <f t="shared" si="192"/>
        <v>0</v>
      </c>
      <c r="DL209" s="3">
        <f t="shared" si="192"/>
        <v>0</v>
      </c>
      <c r="DM209" s="3">
        <f t="shared" si="192"/>
        <v>0</v>
      </c>
      <c r="DN209" s="3">
        <f t="shared" si="192"/>
        <v>0</v>
      </c>
      <c r="DO209" s="3">
        <f t="shared" si="192"/>
        <v>0</v>
      </c>
      <c r="DP209" s="3">
        <f t="shared" si="192"/>
        <v>0</v>
      </c>
      <c r="DQ209" s="3">
        <f t="shared" si="192"/>
        <v>0</v>
      </c>
      <c r="DR209" s="3">
        <f t="shared" si="192"/>
        <v>0</v>
      </c>
      <c r="DS209" s="3">
        <f t="shared" si="192"/>
        <v>0</v>
      </c>
      <c r="DT209" s="3">
        <f t="shared" si="192"/>
        <v>0</v>
      </c>
      <c r="DU209" s="3">
        <f t="shared" si="192"/>
        <v>0</v>
      </c>
      <c r="DV209" s="3">
        <f t="shared" si="192"/>
        <v>0</v>
      </c>
      <c r="DW209" s="3">
        <f t="shared" si="192"/>
        <v>0</v>
      </c>
      <c r="DX209" s="3">
        <f t="shared" si="192"/>
        <v>0</v>
      </c>
      <c r="DY209" s="3">
        <f t="shared" si="192"/>
        <v>0</v>
      </c>
      <c r="DZ209" s="3">
        <f t="shared" si="192"/>
        <v>0</v>
      </c>
      <c r="EA209" s="3">
        <f t="shared" si="192"/>
        <v>0</v>
      </c>
      <c r="EB209" s="3">
        <f t="shared" si="192"/>
        <v>0</v>
      </c>
      <c r="EC209" s="3">
        <f t="shared" si="192"/>
        <v>0</v>
      </c>
      <c r="ED209" s="3">
        <f t="shared" si="192"/>
        <v>0</v>
      </c>
      <c r="EE209" s="3">
        <f t="shared" si="192"/>
        <v>0</v>
      </c>
      <c r="EF209" s="3">
        <f t="shared" si="192"/>
        <v>0</v>
      </c>
      <c r="EG209" s="3">
        <f t="shared" si="192"/>
        <v>0</v>
      </c>
      <c r="EH209" s="3">
        <f t="shared" si="192"/>
        <v>0</v>
      </c>
      <c r="EI209" s="3">
        <f t="shared" si="192"/>
        <v>0</v>
      </c>
      <c r="EJ209" s="3">
        <f t="shared" si="192"/>
        <v>0</v>
      </c>
      <c r="EK209" s="3">
        <f t="shared" si="192"/>
        <v>0</v>
      </c>
      <c r="EL209" s="3">
        <f t="shared" si="192"/>
        <v>0</v>
      </c>
      <c r="EM209" s="3">
        <f t="shared" ref="EM209:FR209" si="193">EM231</f>
        <v>0</v>
      </c>
      <c r="EN209" s="3">
        <f t="shared" si="193"/>
        <v>0</v>
      </c>
      <c r="EO209" s="3">
        <f t="shared" si="193"/>
        <v>0</v>
      </c>
      <c r="EP209" s="3">
        <f t="shared" si="193"/>
        <v>0</v>
      </c>
      <c r="EQ209" s="3">
        <f t="shared" si="193"/>
        <v>0</v>
      </c>
      <c r="ER209" s="3">
        <f t="shared" si="193"/>
        <v>0</v>
      </c>
      <c r="ES209" s="3">
        <f t="shared" si="193"/>
        <v>0</v>
      </c>
      <c r="ET209" s="3">
        <f t="shared" si="193"/>
        <v>0</v>
      </c>
      <c r="EU209" s="3">
        <f t="shared" si="193"/>
        <v>0</v>
      </c>
      <c r="EV209" s="3">
        <f t="shared" si="193"/>
        <v>0</v>
      </c>
      <c r="EW209" s="3">
        <f t="shared" si="193"/>
        <v>0</v>
      </c>
      <c r="EX209" s="3">
        <f t="shared" si="193"/>
        <v>0</v>
      </c>
      <c r="EY209" s="3">
        <f t="shared" si="193"/>
        <v>0</v>
      </c>
      <c r="EZ209" s="3">
        <f t="shared" si="193"/>
        <v>0</v>
      </c>
      <c r="FA209" s="3">
        <f t="shared" si="193"/>
        <v>0</v>
      </c>
      <c r="FB209" s="3">
        <f t="shared" si="193"/>
        <v>0</v>
      </c>
      <c r="FC209" s="3">
        <f t="shared" si="193"/>
        <v>0</v>
      </c>
      <c r="FD209" s="3">
        <f t="shared" si="193"/>
        <v>0</v>
      </c>
      <c r="FE209" s="3">
        <f t="shared" si="193"/>
        <v>0</v>
      </c>
      <c r="FF209" s="3">
        <f t="shared" si="193"/>
        <v>0</v>
      </c>
      <c r="FG209" s="3">
        <f t="shared" si="193"/>
        <v>0</v>
      </c>
      <c r="FH209" s="3">
        <f t="shared" si="193"/>
        <v>0</v>
      </c>
      <c r="FI209" s="3">
        <f t="shared" si="193"/>
        <v>0</v>
      </c>
      <c r="FJ209" s="3">
        <f t="shared" si="193"/>
        <v>0</v>
      </c>
      <c r="FK209" s="3">
        <f t="shared" si="193"/>
        <v>0</v>
      </c>
      <c r="FL209" s="3">
        <f t="shared" si="193"/>
        <v>0</v>
      </c>
      <c r="FM209" s="3">
        <f t="shared" si="193"/>
        <v>0</v>
      </c>
      <c r="FN209" s="3">
        <f t="shared" si="193"/>
        <v>0</v>
      </c>
      <c r="FO209" s="3">
        <f t="shared" si="193"/>
        <v>0</v>
      </c>
      <c r="FP209" s="3">
        <f t="shared" si="193"/>
        <v>0</v>
      </c>
      <c r="FQ209" s="3">
        <f t="shared" si="193"/>
        <v>0</v>
      </c>
      <c r="FR209" s="3">
        <f t="shared" si="193"/>
        <v>0</v>
      </c>
      <c r="FS209" s="3">
        <f t="shared" ref="FS209:GX209" si="194">FS231</f>
        <v>0</v>
      </c>
      <c r="FT209" s="3">
        <f t="shared" si="194"/>
        <v>0</v>
      </c>
      <c r="FU209" s="3">
        <f t="shared" si="194"/>
        <v>0</v>
      </c>
      <c r="FV209" s="3">
        <f t="shared" si="194"/>
        <v>0</v>
      </c>
      <c r="FW209" s="3">
        <f t="shared" si="194"/>
        <v>0</v>
      </c>
      <c r="FX209" s="3">
        <f t="shared" si="194"/>
        <v>0</v>
      </c>
      <c r="FY209" s="3">
        <f t="shared" si="194"/>
        <v>0</v>
      </c>
      <c r="FZ209" s="3">
        <f t="shared" si="194"/>
        <v>0</v>
      </c>
      <c r="GA209" s="3">
        <f t="shared" si="194"/>
        <v>0</v>
      </c>
      <c r="GB209" s="3">
        <f t="shared" si="194"/>
        <v>0</v>
      </c>
      <c r="GC209" s="3">
        <f t="shared" si="194"/>
        <v>0</v>
      </c>
      <c r="GD209" s="3">
        <f t="shared" si="194"/>
        <v>0</v>
      </c>
      <c r="GE209" s="3">
        <f t="shared" si="194"/>
        <v>0</v>
      </c>
      <c r="GF209" s="3">
        <f t="shared" si="194"/>
        <v>0</v>
      </c>
      <c r="GG209" s="3">
        <f t="shared" si="194"/>
        <v>0</v>
      </c>
      <c r="GH209" s="3">
        <f t="shared" si="194"/>
        <v>0</v>
      </c>
      <c r="GI209" s="3">
        <f t="shared" si="194"/>
        <v>0</v>
      </c>
      <c r="GJ209" s="3">
        <f t="shared" si="194"/>
        <v>0</v>
      </c>
      <c r="GK209" s="3">
        <f t="shared" si="194"/>
        <v>0</v>
      </c>
      <c r="GL209" s="3">
        <f t="shared" si="194"/>
        <v>0</v>
      </c>
      <c r="GM209" s="3">
        <f t="shared" si="194"/>
        <v>0</v>
      </c>
      <c r="GN209" s="3">
        <f t="shared" si="194"/>
        <v>0</v>
      </c>
      <c r="GO209" s="3">
        <f t="shared" si="194"/>
        <v>0</v>
      </c>
      <c r="GP209" s="3">
        <f t="shared" si="194"/>
        <v>0</v>
      </c>
      <c r="GQ209" s="3">
        <f t="shared" si="194"/>
        <v>0</v>
      </c>
      <c r="GR209" s="3">
        <f t="shared" si="194"/>
        <v>0</v>
      </c>
      <c r="GS209" s="3">
        <f t="shared" si="194"/>
        <v>0</v>
      </c>
      <c r="GT209" s="3">
        <f t="shared" si="194"/>
        <v>0</v>
      </c>
      <c r="GU209" s="3">
        <f t="shared" si="194"/>
        <v>0</v>
      </c>
      <c r="GV209" s="3">
        <f t="shared" si="194"/>
        <v>0</v>
      </c>
      <c r="GW209" s="3">
        <f t="shared" si="194"/>
        <v>0</v>
      </c>
      <c r="GX209" s="3">
        <f t="shared" si="194"/>
        <v>0</v>
      </c>
    </row>
    <row r="211" spans="1:245" x14ac:dyDescent="0.2">
      <c r="A211">
        <v>17</v>
      </c>
      <c r="B211">
        <v>1</v>
      </c>
      <c r="D211">
        <f>ROW(EtalonRes!A94)</f>
        <v>94</v>
      </c>
      <c r="E211" t="s">
        <v>223</v>
      </c>
      <c r="F211" t="s">
        <v>198</v>
      </c>
      <c r="G211" t="s">
        <v>199</v>
      </c>
      <c r="H211" t="s">
        <v>42</v>
      </c>
      <c r="I211">
        <v>1</v>
      </c>
      <c r="J211">
        <v>0</v>
      </c>
      <c r="K211">
        <v>1</v>
      </c>
      <c r="O211">
        <f t="shared" ref="O211:O229" si="195">ROUND(CP211,2)</f>
        <v>12518.62</v>
      </c>
      <c r="P211">
        <f t="shared" ref="P211:P229" si="196">ROUND(CQ211*I211,2)</f>
        <v>0</v>
      </c>
      <c r="Q211">
        <f t="shared" ref="Q211:Q229" si="197">ROUND(CR211*I211,2)</f>
        <v>0</v>
      </c>
      <c r="R211">
        <f t="shared" ref="R211:R229" si="198">ROUND(CS211*I211,2)</f>
        <v>0</v>
      </c>
      <c r="S211">
        <f t="shared" ref="S211:S229" si="199">ROUND(CT211*I211,2)</f>
        <v>12518.62</v>
      </c>
      <c r="T211">
        <f t="shared" ref="T211:T229" si="200">ROUND(CU211*I211,2)</f>
        <v>0</v>
      </c>
      <c r="U211">
        <f t="shared" ref="U211:U229" si="201">CV211*I211</f>
        <v>23.6</v>
      </c>
      <c r="V211">
        <f t="shared" ref="V211:V229" si="202">CW211*I211</f>
        <v>0</v>
      </c>
      <c r="W211">
        <f t="shared" ref="W211:W229" si="203">ROUND(CX211*I211,2)</f>
        <v>0</v>
      </c>
      <c r="X211">
        <f t="shared" ref="X211:X229" si="204">ROUND(CY211,2)</f>
        <v>8763.0300000000007</v>
      </c>
      <c r="Y211">
        <f t="shared" ref="Y211:Y229" si="205">ROUND(CZ211,2)</f>
        <v>1251.8599999999999</v>
      </c>
      <c r="AA211">
        <v>1407491423</v>
      </c>
      <c r="AB211">
        <f t="shared" ref="AB211:AB229" si="206">ROUND((AC211+AD211+AF211),6)</f>
        <v>12518.62</v>
      </c>
      <c r="AC211">
        <f>ROUND(((ES211*118)),6)</f>
        <v>0</v>
      </c>
      <c r="AD211">
        <f>ROUND(((((ET211*118))-((EU211*118)))+AE211),6)</f>
        <v>0</v>
      </c>
      <c r="AE211">
        <f>ROUND(((EU211*118)),6)</f>
        <v>0</v>
      </c>
      <c r="AF211">
        <f>ROUND(((EV211*118)),6)</f>
        <v>12518.62</v>
      </c>
      <c r="AG211">
        <f t="shared" ref="AG211:AG229" si="207">ROUND((AP211),6)</f>
        <v>0</v>
      </c>
      <c r="AH211">
        <f>((EW211*118))</f>
        <v>23.6</v>
      </c>
      <c r="AI211">
        <f>((EX211*118))</f>
        <v>0</v>
      </c>
      <c r="AJ211">
        <f t="shared" ref="AJ211:AJ229" si="208">(AS211)</f>
        <v>0</v>
      </c>
      <c r="AK211">
        <v>106.09</v>
      </c>
      <c r="AL211">
        <v>0</v>
      </c>
      <c r="AM211">
        <v>0</v>
      </c>
      <c r="AN211">
        <v>0</v>
      </c>
      <c r="AO211">
        <v>106.09</v>
      </c>
      <c r="AP211">
        <v>0</v>
      </c>
      <c r="AQ211">
        <v>0.2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200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ref="CP211:CP229" si="209">(P211+Q211+S211)</f>
        <v>12518.62</v>
      </c>
      <c r="CQ211">
        <f t="shared" ref="CQ211:CQ229" si="210">(AC211*BC211*AW211)</f>
        <v>0</v>
      </c>
      <c r="CR211">
        <f>(((((ET211*118))*BB211-((EU211*118))*BS211)+AE211*BS211)*AV211)</f>
        <v>0</v>
      </c>
      <c r="CS211">
        <f t="shared" ref="CS211:CS229" si="211">(AE211*BS211*AV211)</f>
        <v>0</v>
      </c>
      <c r="CT211">
        <f t="shared" ref="CT211:CT229" si="212">(AF211*BA211*AV211)</f>
        <v>12518.62</v>
      </c>
      <c r="CU211">
        <f t="shared" ref="CU211:CU229" si="213">AG211</f>
        <v>0</v>
      </c>
      <c r="CV211">
        <f t="shared" ref="CV211:CV229" si="214">(AH211*AV211)</f>
        <v>23.6</v>
      </c>
      <c r="CW211">
        <f t="shared" ref="CW211:CW229" si="215">AI211</f>
        <v>0</v>
      </c>
      <c r="CX211">
        <f t="shared" ref="CX211:CX229" si="216">AJ211</f>
        <v>0</v>
      </c>
      <c r="CY211">
        <f t="shared" ref="CY211:CY229" si="217">((S211*BZ211)/100)</f>
        <v>8763.0339999999997</v>
      </c>
      <c r="CZ211">
        <f t="shared" ref="CZ211:CZ229" si="218">((S211*CA211)/100)</f>
        <v>1251.8620000000001</v>
      </c>
      <c r="DC211" t="s">
        <v>3</v>
      </c>
      <c r="DD211" t="s">
        <v>201</v>
      </c>
      <c r="DE211" t="s">
        <v>201</v>
      </c>
      <c r="DF211" t="s">
        <v>201</v>
      </c>
      <c r="DG211" t="s">
        <v>201</v>
      </c>
      <c r="DH211" t="s">
        <v>3</v>
      </c>
      <c r="DI211" t="s">
        <v>201</v>
      </c>
      <c r="DJ211" t="s">
        <v>201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16987630</v>
      </c>
      <c r="DV211" t="s">
        <v>42</v>
      </c>
      <c r="DW211" t="s">
        <v>42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1364533919</v>
      </c>
      <c r="EF211">
        <v>1</v>
      </c>
      <c r="EG211" t="s">
        <v>21</v>
      </c>
      <c r="EH211">
        <v>0</v>
      </c>
      <c r="EI211" t="s">
        <v>3</v>
      </c>
      <c r="EJ211">
        <v>4</v>
      </c>
      <c r="EK211">
        <v>0</v>
      </c>
      <c r="EL211" t="s">
        <v>22</v>
      </c>
      <c r="EM211" t="s">
        <v>23</v>
      </c>
      <c r="EO211" t="s">
        <v>3</v>
      </c>
      <c r="EQ211">
        <v>0</v>
      </c>
      <c r="ER211">
        <v>106.09</v>
      </c>
      <c r="ES211">
        <v>0</v>
      </c>
      <c r="ET211">
        <v>0</v>
      </c>
      <c r="EU211">
        <v>0</v>
      </c>
      <c r="EV211">
        <v>106.09</v>
      </c>
      <c r="EW211">
        <v>0.2</v>
      </c>
      <c r="EX211">
        <v>0</v>
      </c>
      <c r="EY211">
        <v>0</v>
      </c>
      <c r="FQ211">
        <v>0</v>
      </c>
      <c r="FR211">
        <f t="shared" ref="FR211:FR229" si="219">ROUND(IF(BI211=3,GM211,0),2)</f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2058634285</v>
      </c>
      <c r="GG211">
        <v>2</v>
      </c>
      <c r="GH211">
        <v>1</v>
      </c>
      <c r="GI211">
        <v>-2</v>
      </c>
      <c r="GJ211">
        <v>0</v>
      </c>
      <c r="GK211">
        <f>ROUND(R211*(R12)/100,2)</f>
        <v>0</v>
      </c>
      <c r="GL211">
        <f t="shared" ref="GL211:GL229" si="220">ROUND(IF(AND(BH211=3,BI211=3,FS211&lt;&gt;0),P211,0),2)</f>
        <v>0</v>
      </c>
      <c r="GM211">
        <f t="shared" ref="GM211:GM229" si="221">ROUND(O211+X211+Y211+GK211,2)+GX211</f>
        <v>22533.51</v>
      </c>
      <c r="GN211">
        <f t="shared" ref="GN211:GN229" si="222">IF(OR(BI211=0,BI211=1),ROUND(O211+X211+Y211+GK211,2),0)</f>
        <v>0</v>
      </c>
      <c r="GO211">
        <f t="shared" ref="GO211:GO229" si="223">IF(BI211=2,ROUND(O211+X211+Y211+GK211,2),0)</f>
        <v>0</v>
      </c>
      <c r="GP211">
        <f t="shared" ref="GP211:GP229" si="224">IF(BI211=4,ROUND(O211+X211+Y211+GK211,2)+GX211,0)</f>
        <v>22533.51</v>
      </c>
      <c r="GR211">
        <v>0</v>
      </c>
      <c r="GS211">
        <v>3</v>
      </c>
      <c r="GT211">
        <v>0</v>
      </c>
      <c r="GU211" t="s">
        <v>3</v>
      </c>
      <c r="GV211">
        <f t="shared" ref="GV211:GV229" si="225">ROUND((GT211),6)</f>
        <v>0</v>
      </c>
      <c r="GW211">
        <v>1</v>
      </c>
      <c r="GX211">
        <f t="shared" ref="GX211:GX229" si="226">ROUND(HC211*I211,2)</f>
        <v>0</v>
      </c>
      <c r="HA211">
        <v>0</v>
      </c>
      <c r="HB211">
        <v>0</v>
      </c>
      <c r="HC211">
        <f t="shared" ref="HC211:HC229" si="227">GV211*GW211</f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D212">
        <f>ROW(EtalonRes!A95)</f>
        <v>95</v>
      </c>
      <c r="E212" t="s">
        <v>224</v>
      </c>
      <c r="F212" t="s">
        <v>203</v>
      </c>
      <c r="G212" t="s">
        <v>204</v>
      </c>
      <c r="H212" t="s">
        <v>42</v>
      </c>
      <c r="I212">
        <v>1</v>
      </c>
      <c r="J212">
        <v>0</v>
      </c>
      <c r="K212">
        <v>1</v>
      </c>
      <c r="O212">
        <f t="shared" si="195"/>
        <v>785.08</v>
      </c>
      <c r="P212">
        <f t="shared" si="196"/>
        <v>0</v>
      </c>
      <c r="Q212">
        <f t="shared" si="197"/>
        <v>0</v>
      </c>
      <c r="R212">
        <f t="shared" si="198"/>
        <v>0</v>
      </c>
      <c r="S212">
        <f t="shared" si="199"/>
        <v>785.08</v>
      </c>
      <c r="T212">
        <f t="shared" si="200"/>
        <v>0</v>
      </c>
      <c r="U212">
        <f t="shared" si="201"/>
        <v>1.48</v>
      </c>
      <c r="V212">
        <f t="shared" si="202"/>
        <v>0</v>
      </c>
      <c r="W212">
        <f t="shared" si="203"/>
        <v>0</v>
      </c>
      <c r="X212">
        <f t="shared" si="204"/>
        <v>549.55999999999995</v>
      </c>
      <c r="Y212">
        <f t="shared" si="205"/>
        <v>78.510000000000005</v>
      </c>
      <c r="AA212">
        <v>1407491423</v>
      </c>
      <c r="AB212">
        <f t="shared" si="206"/>
        <v>785.08</v>
      </c>
      <c r="AC212">
        <f>ROUND(((ES212*4)),6)</f>
        <v>0</v>
      </c>
      <c r="AD212">
        <f>ROUND(((((ET212*4))-((EU212*4)))+AE212),6)</f>
        <v>0</v>
      </c>
      <c r="AE212">
        <f>ROUND(((EU212*4)),6)</f>
        <v>0</v>
      </c>
      <c r="AF212">
        <f>ROUND(((EV212*4)),6)</f>
        <v>785.08</v>
      </c>
      <c r="AG212">
        <f t="shared" si="207"/>
        <v>0</v>
      </c>
      <c r="AH212">
        <f>((EW212*4))</f>
        <v>1.48</v>
      </c>
      <c r="AI212">
        <f>((EX212*4))</f>
        <v>0</v>
      </c>
      <c r="AJ212">
        <f t="shared" si="208"/>
        <v>0</v>
      </c>
      <c r="AK212">
        <v>196.27</v>
      </c>
      <c r="AL212">
        <v>0</v>
      </c>
      <c r="AM212">
        <v>0</v>
      </c>
      <c r="AN212">
        <v>0</v>
      </c>
      <c r="AO212">
        <v>196.27</v>
      </c>
      <c r="AP212">
        <v>0</v>
      </c>
      <c r="AQ212">
        <v>0.37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205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209"/>
        <v>785.08</v>
      </c>
      <c r="CQ212">
        <f t="shared" si="210"/>
        <v>0</v>
      </c>
      <c r="CR212">
        <f>(((((ET212*4))*BB212-((EU212*4))*BS212)+AE212*BS212)*AV212)</f>
        <v>0</v>
      </c>
      <c r="CS212">
        <f t="shared" si="211"/>
        <v>0</v>
      </c>
      <c r="CT212">
        <f t="shared" si="212"/>
        <v>785.08</v>
      </c>
      <c r="CU212">
        <f t="shared" si="213"/>
        <v>0</v>
      </c>
      <c r="CV212">
        <f t="shared" si="214"/>
        <v>1.48</v>
      </c>
      <c r="CW212">
        <f t="shared" si="215"/>
        <v>0</v>
      </c>
      <c r="CX212">
        <f t="shared" si="216"/>
        <v>0</v>
      </c>
      <c r="CY212">
        <f t="shared" si="217"/>
        <v>549.55600000000004</v>
      </c>
      <c r="CZ212">
        <f t="shared" si="218"/>
        <v>78.507999999999996</v>
      </c>
      <c r="DC212" t="s">
        <v>3</v>
      </c>
      <c r="DD212" t="s">
        <v>20</v>
      </c>
      <c r="DE212" t="s">
        <v>20</v>
      </c>
      <c r="DF212" t="s">
        <v>20</v>
      </c>
      <c r="DG212" t="s">
        <v>20</v>
      </c>
      <c r="DH212" t="s">
        <v>3</v>
      </c>
      <c r="DI212" t="s">
        <v>20</v>
      </c>
      <c r="DJ212" t="s">
        <v>20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16987630</v>
      </c>
      <c r="DV212" t="s">
        <v>42</v>
      </c>
      <c r="DW212" t="s">
        <v>42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1364533919</v>
      </c>
      <c r="EF212">
        <v>1</v>
      </c>
      <c r="EG212" t="s">
        <v>21</v>
      </c>
      <c r="EH212">
        <v>0</v>
      </c>
      <c r="EI212" t="s">
        <v>3</v>
      </c>
      <c r="EJ212">
        <v>4</v>
      </c>
      <c r="EK212">
        <v>0</v>
      </c>
      <c r="EL212" t="s">
        <v>22</v>
      </c>
      <c r="EM212" t="s">
        <v>23</v>
      </c>
      <c r="EO212" t="s">
        <v>3</v>
      </c>
      <c r="EQ212">
        <v>0</v>
      </c>
      <c r="ER212">
        <v>196.27</v>
      </c>
      <c r="ES212">
        <v>0</v>
      </c>
      <c r="ET212">
        <v>0</v>
      </c>
      <c r="EU212">
        <v>0</v>
      </c>
      <c r="EV212">
        <v>196.27</v>
      </c>
      <c r="EW212">
        <v>0.37</v>
      </c>
      <c r="EX212">
        <v>0</v>
      </c>
      <c r="EY212">
        <v>0</v>
      </c>
      <c r="FQ212">
        <v>0</v>
      </c>
      <c r="FR212">
        <f t="shared" si="219"/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-1557779106</v>
      </c>
      <c r="GG212">
        <v>2</v>
      </c>
      <c r="GH212">
        <v>1</v>
      </c>
      <c r="GI212">
        <v>-2</v>
      </c>
      <c r="GJ212">
        <v>0</v>
      </c>
      <c r="GK212">
        <f>ROUND(R212*(R12)/100,2)</f>
        <v>0</v>
      </c>
      <c r="GL212">
        <f t="shared" si="220"/>
        <v>0</v>
      </c>
      <c r="GM212">
        <f t="shared" si="221"/>
        <v>1413.15</v>
      </c>
      <c r="GN212">
        <f t="shared" si="222"/>
        <v>0</v>
      </c>
      <c r="GO212">
        <f t="shared" si="223"/>
        <v>0</v>
      </c>
      <c r="GP212">
        <f t="shared" si="224"/>
        <v>1413.15</v>
      </c>
      <c r="GR212">
        <v>0</v>
      </c>
      <c r="GS212">
        <v>3</v>
      </c>
      <c r="GT212">
        <v>0</v>
      </c>
      <c r="GU212" t="s">
        <v>3</v>
      </c>
      <c r="GV212">
        <f t="shared" si="225"/>
        <v>0</v>
      </c>
      <c r="GW212">
        <v>1</v>
      </c>
      <c r="GX212">
        <f t="shared" si="226"/>
        <v>0</v>
      </c>
      <c r="HA212">
        <v>0</v>
      </c>
      <c r="HB212">
        <v>0</v>
      </c>
      <c r="HC212">
        <f t="shared" si="227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D213">
        <f>ROW(EtalonRes!A96)</f>
        <v>96</v>
      </c>
      <c r="E213" t="s">
        <v>225</v>
      </c>
      <c r="F213" t="s">
        <v>226</v>
      </c>
      <c r="G213" t="s">
        <v>227</v>
      </c>
      <c r="H213" t="s">
        <v>42</v>
      </c>
      <c r="I213">
        <v>1</v>
      </c>
      <c r="J213">
        <v>0</v>
      </c>
      <c r="K213">
        <v>1</v>
      </c>
      <c r="O213">
        <f t="shared" si="195"/>
        <v>4381.34</v>
      </c>
      <c r="P213">
        <f t="shared" si="196"/>
        <v>0</v>
      </c>
      <c r="Q213">
        <f t="shared" si="197"/>
        <v>0</v>
      </c>
      <c r="R213">
        <f t="shared" si="198"/>
        <v>0</v>
      </c>
      <c r="S213">
        <f t="shared" si="199"/>
        <v>4381.34</v>
      </c>
      <c r="T213">
        <f t="shared" si="200"/>
        <v>0</v>
      </c>
      <c r="U213">
        <f t="shared" si="201"/>
        <v>8.2600000000000016</v>
      </c>
      <c r="V213">
        <f t="shared" si="202"/>
        <v>0</v>
      </c>
      <c r="W213">
        <f t="shared" si="203"/>
        <v>0</v>
      </c>
      <c r="X213">
        <f t="shared" si="204"/>
        <v>3066.94</v>
      </c>
      <c r="Y213">
        <f t="shared" si="205"/>
        <v>438.13</v>
      </c>
      <c r="AA213">
        <v>1407491423</v>
      </c>
      <c r="AB213">
        <f t="shared" si="206"/>
        <v>4381.34</v>
      </c>
      <c r="AC213">
        <f>ROUND(((ES213*118)),6)</f>
        <v>0</v>
      </c>
      <c r="AD213">
        <f>ROUND(((((ET213*118))-((EU213*118)))+AE213),6)</f>
        <v>0</v>
      </c>
      <c r="AE213">
        <f>ROUND(((EU213*118)),6)</f>
        <v>0</v>
      </c>
      <c r="AF213">
        <f>ROUND(((EV213*118)),6)</f>
        <v>4381.34</v>
      </c>
      <c r="AG213">
        <f t="shared" si="207"/>
        <v>0</v>
      </c>
      <c r="AH213">
        <f>((EW213*118))</f>
        <v>8.2600000000000016</v>
      </c>
      <c r="AI213">
        <f>((EX213*118))</f>
        <v>0</v>
      </c>
      <c r="AJ213">
        <f t="shared" si="208"/>
        <v>0</v>
      </c>
      <c r="AK213">
        <v>37.130000000000003</v>
      </c>
      <c r="AL213">
        <v>0</v>
      </c>
      <c r="AM213">
        <v>0</v>
      </c>
      <c r="AN213">
        <v>0</v>
      </c>
      <c r="AO213">
        <v>37.130000000000003</v>
      </c>
      <c r="AP213">
        <v>0</v>
      </c>
      <c r="AQ213">
        <v>7.0000000000000007E-2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228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209"/>
        <v>4381.34</v>
      </c>
      <c r="CQ213">
        <f t="shared" si="210"/>
        <v>0</v>
      </c>
      <c r="CR213">
        <f>(((((ET213*118))*BB213-((EU213*118))*BS213)+AE213*BS213)*AV213)</f>
        <v>0</v>
      </c>
      <c r="CS213">
        <f t="shared" si="211"/>
        <v>0</v>
      </c>
      <c r="CT213">
        <f t="shared" si="212"/>
        <v>4381.34</v>
      </c>
      <c r="CU213">
        <f t="shared" si="213"/>
        <v>0</v>
      </c>
      <c r="CV213">
        <f t="shared" si="214"/>
        <v>8.2600000000000016</v>
      </c>
      <c r="CW213">
        <f t="shared" si="215"/>
        <v>0</v>
      </c>
      <c r="CX213">
        <f t="shared" si="216"/>
        <v>0</v>
      </c>
      <c r="CY213">
        <f t="shared" si="217"/>
        <v>3066.9380000000001</v>
      </c>
      <c r="CZ213">
        <f t="shared" si="218"/>
        <v>438.13400000000001</v>
      </c>
      <c r="DC213" t="s">
        <v>3</v>
      </c>
      <c r="DD213" t="s">
        <v>201</v>
      </c>
      <c r="DE213" t="s">
        <v>201</v>
      </c>
      <c r="DF213" t="s">
        <v>201</v>
      </c>
      <c r="DG213" t="s">
        <v>201</v>
      </c>
      <c r="DH213" t="s">
        <v>3</v>
      </c>
      <c r="DI213" t="s">
        <v>201</v>
      </c>
      <c r="DJ213" t="s">
        <v>201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42</v>
      </c>
      <c r="DW213" t="s">
        <v>42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1364533919</v>
      </c>
      <c r="EF213">
        <v>1</v>
      </c>
      <c r="EG213" t="s">
        <v>21</v>
      </c>
      <c r="EH213">
        <v>0</v>
      </c>
      <c r="EI213" t="s">
        <v>3</v>
      </c>
      <c r="EJ213">
        <v>4</v>
      </c>
      <c r="EK213">
        <v>0</v>
      </c>
      <c r="EL213" t="s">
        <v>22</v>
      </c>
      <c r="EM213" t="s">
        <v>23</v>
      </c>
      <c r="EO213" t="s">
        <v>3</v>
      </c>
      <c r="EQ213">
        <v>0</v>
      </c>
      <c r="ER213">
        <v>37.130000000000003</v>
      </c>
      <c r="ES213">
        <v>0</v>
      </c>
      <c r="ET213">
        <v>0</v>
      </c>
      <c r="EU213">
        <v>0</v>
      </c>
      <c r="EV213">
        <v>37.130000000000003</v>
      </c>
      <c r="EW213">
        <v>7.0000000000000007E-2</v>
      </c>
      <c r="EX213">
        <v>0</v>
      </c>
      <c r="EY213">
        <v>0</v>
      </c>
      <c r="FQ213">
        <v>0</v>
      </c>
      <c r="FR213">
        <f t="shared" si="219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-1280409670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si="220"/>
        <v>0</v>
      </c>
      <c r="GM213">
        <f t="shared" si="221"/>
        <v>7886.41</v>
      </c>
      <c r="GN213">
        <f t="shared" si="222"/>
        <v>0</v>
      </c>
      <c r="GO213">
        <f t="shared" si="223"/>
        <v>0</v>
      </c>
      <c r="GP213">
        <f t="shared" si="224"/>
        <v>7886.41</v>
      </c>
      <c r="GR213">
        <v>0</v>
      </c>
      <c r="GS213">
        <v>3</v>
      </c>
      <c r="GT213">
        <v>0</v>
      </c>
      <c r="GU213" t="s">
        <v>3</v>
      </c>
      <c r="GV213">
        <f t="shared" si="225"/>
        <v>0</v>
      </c>
      <c r="GW213">
        <v>1</v>
      </c>
      <c r="GX213">
        <f t="shared" si="226"/>
        <v>0</v>
      </c>
      <c r="HA213">
        <v>0</v>
      </c>
      <c r="HB213">
        <v>0</v>
      </c>
      <c r="HC213">
        <f t="shared" si="227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D214">
        <f>ROW(EtalonRes!A98)</f>
        <v>98</v>
      </c>
      <c r="E214" t="s">
        <v>229</v>
      </c>
      <c r="F214" t="s">
        <v>230</v>
      </c>
      <c r="G214" t="s">
        <v>231</v>
      </c>
      <c r="H214" t="s">
        <v>42</v>
      </c>
      <c r="I214">
        <v>1</v>
      </c>
      <c r="J214">
        <v>0</v>
      </c>
      <c r="K214">
        <v>1</v>
      </c>
      <c r="O214">
        <f t="shared" si="195"/>
        <v>365.92</v>
      </c>
      <c r="P214">
        <f t="shared" si="196"/>
        <v>5.2</v>
      </c>
      <c r="Q214">
        <f t="shared" si="197"/>
        <v>0</v>
      </c>
      <c r="R214">
        <f t="shared" si="198"/>
        <v>0</v>
      </c>
      <c r="S214">
        <f t="shared" si="199"/>
        <v>360.72</v>
      </c>
      <c r="T214">
        <f t="shared" si="200"/>
        <v>0</v>
      </c>
      <c r="U214">
        <f t="shared" si="201"/>
        <v>0.68</v>
      </c>
      <c r="V214">
        <f t="shared" si="202"/>
        <v>0</v>
      </c>
      <c r="W214">
        <f t="shared" si="203"/>
        <v>0</v>
      </c>
      <c r="X214">
        <f t="shared" si="204"/>
        <v>252.5</v>
      </c>
      <c r="Y214">
        <f t="shared" si="205"/>
        <v>36.07</v>
      </c>
      <c r="AA214">
        <v>1407491423</v>
      </c>
      <c r="AB214">
        <f t="shared" si="206"/>
        <v>365.92</v>
      </c>
      <c r="AC214">
        <f>ROUND(((ES214*4)),6)</f>
        <v>5.2</v>
      </c>
      <c r="AD214">
        <f>ROUND(((((ET214*4))-((EU214*4)))+AE214),6)</f>
        <v>0</v>
      </c>
      <c r="AE214">
        <f>ROUND(((EU214*4)),6)</f>
        <v>0</v>
      </c>
      <c r="AF214">
        <f>ROUND(((EV214*4)),6)</f>
        <v>360.72</v>
      </c>
      <c r="AG214">
        <f t="shared" si="207"/>
        <v>0</v>
      </c>
      <c r="AH214">
        <f>((EW214*4))</f>
        <v>0.68</v>
      </c>
      <c r="AI214">
        <f>((EX214*4))</f>
        <v>0</v>
      </c>
      <c r="AJ214">
        <f t="shared" si="208"/>
        <v>0</v>
      </c>
      <c r="AK214">
        <v>91.48</v>
      </c>
      <c r="AL214">
        <v>1.3</v>
      </c>
      <c r="AM214">
        <v>0</v>
      </c>
      <c r="AN214">
        <v>0</v>
      </c>
      <c r="AO214">
        <v>90.18</v>
      </c>
      <c r="AP214">
        <v>0</v>
      </c>
      <c r="AQ214">
        <v>0.17</v>
      </c>
      <c r="AR214">
        <v>0</v>
      </c>
      <c r="AS214">
        <v>0</v>
      </c>
      <c r="AT214">
        <v>70</v>
      </c>
      <c r="AU214">
        <v>10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232</v>
      </c>
      <c r="BM214">
        <v>0</v>
      </c>
      <c r="BN214">
        <v>0</v>
      </c>
      <c r="BO214" t="s">
        <v>3</v>
      </c>
      <c r="BP214">
        <v>0</v>
      </c>
      <c r="BQ214">
        <v>1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70</v>
      </c>
      <c r="CA214">
        <v>10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209"/>
        <v>365.92</v>
      </c>
      <c r="CQ214">
        <f t="shared" si="210"/>
        <v>5.2</v>
      </c>
      <c r="CR214">
        <f>(((((ET214*4))*BB214-((EU214*4))*BS214)+AE214*BS214)*AV214)</f>
        <v>0</v>
      </c>
      <c r="CS214">
        <f t="shared" si="211"/>
        <v>0</v>
      </c>
      <c r="CT214">
        <f t="shared" si="212"/>
        <v>360.72</v>
      </c>
      <c r="CU214">
        <f t="shared" si="213"/>
        <v>0</v>
      </c>
      <c r="CV214">
        <f t="shared" si="214"/>
        <v>0.68</v>
      </c>
      <c r="CW214">
        <f t="shared" si="215"/>
        <v>0</v>
      </c>
      <c r="CX214">
        <f t="shared" si="216"/>
        <v>0</v>
      </c>
      <c r="CY214">
        <f t="shared" si="217"/>
        <v>252.50400000000002</v>
      </c>
      <c r="CZ214">
        <f t="shared" si="218"/>
        <v>36.072000000000003</v>
      </c>
      <c r="DC214" t="s">
        <v>3</v>
      </c>
      <c r="DD214" t="s">
        <v>20</v>
      </c>
      <c r="DE214" t="s">
        <v>20</v>
      </c>
      <c r="DF214" t="s">
        <v>20</v>
      </c>
      <c r="DG214" t="s">
        <v>20</v>
      </c>
      <c r="DH214" t="s">
        <v>3</v>
      </c>
      <c r="DI214" t="s">
        <v>20</v>
      </c>
      <c r="DJ214" t="s">
        <v>20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16987630</v>
      </c>
      <c r="DV214" t="s">
        <v>42</v>
      </c>
      <c r="DW214" t="s">
        <v>42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1364533919</v>
      </c>
      <c r="EF214">
        <v>1</v>
      </c>
      <c r="EG214" t="s">
        <v>21</v>
      </c>
      <c r="EH214">
        <v>0</v>
      </c>
      <c r="EI214" t="s">
        <v>3</v>
      </c>
      <c r="EJ214">
        <v>4</v>
      </c>
      <c r="EK214">
        <v>0</v>
      </c>
      <c r="EL214" t="s">
        <v>22</v>
      </c>
      <c r="EM214" t="s">
        <v>23</v>
      </c>
      <c r="EO214" t="s">
        <v>3</v>
      </c>
      <c r="EQ214">
        <v>0</v>
      </c>
      <c r="ER214">
        <v>91.48</v>
      </c>
      <c r="ES214">
        <v>1.3</v>
      </c>
      <c r="ET214">
        <v>0</v>
      </c>
      <c r="EU214">
        <v>0</v>
      </c>
      <c r="EV214">
        <v>90.18</v>
      </c>
      <c r="EW214">
        <v>0.17</v>
      </c>
      <c r="EX214">
        <v>0</v>
      </c>
      <c r="EY214">
        <v>0</v>
      </c>
      <c r="FQ214">
        <v>0</v>
      </c>
      <c r="FR214">
        <f t="shared" si="219"/>
        <v>0</v>
      </c>
      <c r="FS214">
        <v>0</v>
      </c>
      <c r="FX214">
        <v>70</v>
      </c>
      <c r="FY214">
        <v>10</v>
      </c>
      <c r="GA214" t="s">
        <v>3</v>
      </c>
      <c r="GD214">
        <v>0</v>
      </c>
      <c r="GF214">
        <v>1787467132</v>
      </c>
      <c r="GG214">
        <v>2</v>
      </c>
      <c r="GH214">
        <v>1</v>
      </c>
      <c r="GI214">
        <v>-2</v>
      </c>
      <c r="GJ214">
        <v>0</v>
      </c>
      <c r="GK214">
        <f>ROUND(R214*(R12)/100,2)</f>
        <v>0</v>
      </c>
      <c r="GL214">
        <f t="shared" si="220"/>
        <v>0</v>
      </c>
      <c r="GM214">
        <f t="shared" si="221"/>
        <v>654.49</v>
      </c>
      <c r="GN214">
        <f t="shared" si="222"/>
        <v>0</v>
      </c>
      <c r="GO214">
        <f t="shared" si="223"/>
        <v>0</v>
      </c>
      <c r="GP214">
        <f t="shared" si="224"/>
        <v>654.49</v>
      </c>
      <c r="GR214">
        <v>0</v>
      </c>
      <c r="GS214">
        <v>3</v>
      </c>
      <c r="GT214">
        <v>0</v>
      </c>
      <c r="GU214" t="s">
        <v>3</v>
      </c>
      <c r="GV214">
        <f t="shared" si="225"/>
        <v>0</v>
      </c>
      <c r="GW214">
        <v>1</v>
      </c>
      <c r="GX214">
        <f t="shared" si="226"/>
        <v>0</v>
      </c>
      <c r="HA214">
        <v>0</v>
      </c>
      <c r="HB214">
        <v>0</v>
      </c>
      <c r="HC214">
        <f t="shared" si="227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D215">
        <f>ROW(EtalonRes!A101)</f>
        <v>101</v>
      </c>
      <c r="E215" t="s">
        <v>233</v>
      </c>
      <c r="F215" t="s">
        <v>234</v>
      </c>
      <c r="G215" t="s">
        <v>235</v>
      </c>
      <c r="H215" t="s">
        <v>42</v>
      </c>
      <c r="I215">
        <v>1</v>
      </c>
      <c r="J215">
        <v>0</v>
      </c>
      <c r="K215">
        <v>1</v>
      </c>
      <c r="O215">
        <f t="shared" si="195"/>
        <v>549.44000000000005</v>
      </c>
      <c r="P215">
        <f t="shared" si="196"/>
        <v>0.16</v>
      </c>
      <c r="Q215">
        <f t="shared" si="197"/>
        <v>89.42</v>
      </c>
      <c r="R215">
        <f t="shared" si="198"/>
        <v>48.5</v>
      </c>
      <c r="S215">
        <f t="shared" si="199"/>
        <v>459.86</v>
      </c>
      <c r="T215">
        <f t="shared" si="200"/>
        <v>0</v>
      </c>
      <c r="U215">
        <f t="shared" si="201"/>
        <v>1</v>
      </c>
      <c r="V215">
        <f t="shared" si="202"/>
        <v>0</v>
      </c>
      <c r="W215">
        <f t="shared" si="203"/>
        <v>0</v>
      </c>
      <c r="X215">
        <f t="shared" si="204"/>
        <v>321.89999999999998</v>
      </c>
      <c r="Y215">
        <f t="shared" si="205"/>
        <v>45.99</v>
      </c>
      <c r="AA215">
        <v>1407491423</v>
      </c>
      <c r="AB215">
        <f t="shared" si="206"/>
        <v>549.44000000000005</v>
      </c>
      <c r="AC215">
        <f>ROUND(((ES215*2)),6)</f>
        <v>0.16</v>
      </c>
      <c r="AD215">
        <f>ROUND(((((ET215*2))-((EU215*2)))+AE215),6)</f>
        <v>89.42</v>
      </c>
      <c r="AE215">
        <f>ROUND(((EU215*2)),6)</f>
        <v>48.5</v>
      </c>
      <c r="AF215">
        <f>ROUND(((EV215*2)),6)</f>
        <v>459.86</v>
      </c>
      <c r="AG215">
        <f t="shared" si="207"/>
        <v>0</v>
      </c>
      <c r="AH215">
        <f>((EW215*2))</f>
        <v>1</v>
      </c>
      <c r="AI215">
        <f>((EX215*2))</f>
        <v>0</v>
      </c>
      <c r="AJ215">
        <f t="shared" si="208"/>
        <v>0</v>
      </c>
      <c r="AK215">
        <v>274.72000000000003</v>
      </c>
      <c r="AL215">
        <v>0.08</v>
      </c>
      <c r="AM215">
        <v>44.71</v>
      </c>
      <c r="AN215">
        <v>24.25</v>
      </c>
      <c r="AO215">
        <v>229.93</v>
      </c>
      <c r="AP215">
        <v>0</v>
      </c>
      <c r="AQ215">
        <v>0.5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236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209"/>
        <v>549.44000000000005</v>
      </c>
      <c r="CQ215">
        <f t="shared" si="210"/>
        <v>0.16</v>
      </c>
      <c r="CR215">
        <f>(((((ET215*2))*BB215-((EU215*2))*BS215)+AE215*BS215)*AV215)</f>
        <v>89.42</v>
      </c>
      <c r="CS215">
        <f t="shared" si="211"/>
        <v>48.5</v>
      </c>
      <c r="CT215">
        <f t="shared" si="212"/>
        <v>459.86</v>
      </c>
      <c r="CU215">
        <f t="shared" si="213"/>
        <v>0</v>
      </c>
      <c r="CV215">
        <f t="shared" si="214"/>
        <v>1</v>
      </c>
      <c r="CW215">
        <f t="shared" si="215"/>
        <v>0</v>
      </c>
      <c r="CX215">
        <f t="shared" si="216"/>
        <v>0</v>
      </c>
      <c r="CY215">
        <f t="shared" si="217"/>
        <v>321.90199999999999</v>
      </c>
      <c r="CZ215">
        <f t="shared" si="218"/>
        <v>45.986000000000004</v>
      </c>
      <c r="DC215" t="s">
        <v>3</v>
      </c>
      <c r="DD215" t="s">
        <v>52</v>
      </c>
      <c r="DE215" t="s">
        <v>52</v>
      </c>
      <c r="DF215" t="s">
        <v>52</v>
      </c>
      <c r="DG215" t="s">
        <v>52</v>
      </c>
      <c r="DH215" t="s">
        <v>3</v>
      </c>
      <c r="DI215" t="s">
        <v>52</v>
      </c>
      <c r="DJ215" t="s">
        <v>52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16987630</v>
      </c>
      <c r="DV215" t="s">
        <v>42</v>
      </c>
      <c r="DW215" t="s">
        <v>42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1364533919</v>
      </c>
      <c r="EF215">
        <v>1</v>
      </c>
      <c r="EG215" t="s">
        <v>21</v>
      </c>
      <c r="EH215">
        <v>0</v>
      </c>
      <c r="EI215" t="s">
        <v>3</v>
      </c>
      <c r="EJ215">
        <v>4</v>
      </c>
      <c r="EK215">
        <v>0</v>
      </c>
      <c r="EL215" t="s">
        <v>22</v>
      </c>
      <c r="EM215" t="s">
        <v>23</v>
      </c>
      <c r="EO215" t="s">
        <v>3</v>
      </c>
      <c r="EQ215">
        <v>0</v>
      </c>
      <c r="ER215">
        <v>274.72000000000003</v>
      </c>
      <c r="ES215">
        <v>0.08</v>
      </c>
      <c r="ET215">
        <v>44.71</v>
      </c>
      <c r="EU215">
        <v>24.25</v>
      </c>
      <c r="EV215">
        <v>229.93</v>
      </c>
      <c r="EW215">
        <v>0.5</v>
      </c>
      <c r="EX215">
        <v>0</v>
      </c>
      <c r="EY215">
        <v>0</v>
      </c>
      <c r="FQ215">
        <v>0</v>
      </c>
      <c r="FR215">
        <f t="shared" si="219"/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-1353087225</v>
      </c>
      <c r="GG215">
        <v>2</v>
      </c>
      <c r="GH215">
        <v>1</v>
      </c>
      <c r="GI215">
        <v>-2</v>
      </c>
      <c r="GJ215">
        <v>0</v>
      </c>
      <c r="GK215">
        <f>ROUND(R215*(R12)/100,2)</f>
        <v>52.38</v>
      </c>
      <c r="GL215">
        <f t="shared" si="220"/>
        <v>0</v>
      </c>
      <c r="GM215">
        <f t="shared" si="221"/>
        <v>969.71</v>
      </c>
      <c r="GN215">
        <f t="shared" si="222"/>
        <v>0</v>
      </c>
      <c r="GO215">
        <f t="shared" si="223"/>
        <v>0</v>
      </c>
      <c r="GP215">
        <f t="shared" si="224"/>
        <v>969.71</v>
      </c>
      <c r="GR215">
        <v>0</v>
      </c>
      <c r="GS215">
        <v>3</v>
      </c>
      <c r="GT215">
        <v>0</v>
      </c>
      <c r="GU215" t="s">
        <v>3</v>
      </c>
      <c r="GV215">
        <f t="shared" si="225"/>
        <v>0</v>
      </c>
      <c r="GW215">
        <v>1</v>
      </c>
      <c r="GX215">
        <f t="shared" si="226"/>
        <v>0</v>
      </c>
      <c r="HA215">
        <v>0</v>
      </c>
      <c r="HB215">
        <v>0</v>
      </c>
      <c r="HC215">
        <f t="shared" si="227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ROW(EtalonRes!A102)</f>
        <v>102</v>
      </c>
      <c r="E216" t="s">
        <v>237</v>
      </c>
      <c r="F216" t="s">
        <v>238</v>
      </c>
      <c r="G216" t="s">
        <v>239</v>
      </c>
      <c r="H216" t="s">
        <v>240</v>
      </c>
      <c r="I216">
        <v>1</v>
      </c>
      <c r="J216">
        <v>0</v>
      </c>
      <c r="K216">
        <v>1</v>
      </c>
      <c r="O216">
        <f t="shared" si="195"/>
        <v>4559.5200000000004</v>
      </c>
      <c r="P216">
        <f t="shared" si="196"/>
        <v>0</v>
      </c>
      <c r="Q216">
        <f t="shared" si="197"/>
        <v>0</v>
      </c>
      <c r="R216">
        <f t="shared" si="198"/>
        <v>0</v>
      </c>
      <c r="S216">
        <f t="shared" si="199"/>
        <v>4559.5200000000004</v>
      </c>
      <c r="T216">
        <f t="shared" si="200"/>
        <v>0</v>
      </c>
      <c r="U216">
        <f t="shared" si="201"/>
        <v>9.44</v>
      </c>
      <c r="V216">
        <f t="shared" si="202"/>
        <v>0</v>
      </c>
      <c r="W216">
        <f t="shared" si="203"/>
        <v>0</v>
      </c>
      <c r="X216">
        <f t="shared" si="204"/>
        <v>3191.66</v>
      </c>
      <c r="Y216">
        <f t="shared" si="205"/>
        <v>455.95</v>
      </c>
      <c r="AA216">
        <v>1407491423</v>
      </c>
      <c r="AB216">
        <f t="shared" si="206"/>
        <v>4559.5200000000004</v>
      </c>
      <c r="AC216">
        <f>ROUND(((ES216*118)),6)</f>
        <v>0</v>
      </c>
      <c r="AD216">
        <f>ROUND(((((ET216*118))-((EU216*118)))+AE216),6)</f>
        <v>0</v>
      </c>
      <c r="AE216">
        <f>ROUND(((EU216*118)),6)</f>
        <v>0</v>
      </c>
      <c r="AF216">
        <f>ROUND(((EV216*118)),6)</f>
        <v>4559.5200000000004</v>
      </c>
      <c r="AG216">
        <f t="shared" si="207"/>
        <v>0</v>
      </c>
      <c r="AH216">
        <f>((EW216*118))</f>
        <v>9.44</v>
      </c>
      <c r="AI216">
        <f>((EX216*118))</f>
        <v>0</v>
      </c>
      <c r="AJ216">
        <f t="shared" si="208"/>
        <v>0</v>
      </c>
      <c r="AK216">
        <v>38.64</v>
      </c>
      <c r="AL216">
        <v>0</v>
      </c>
      <c r="AM216">
        <v>0</v>
      </c>
      <c r="AN216">
        <v>0</v>
      </c>
      <c r="AO216">
        <v>38.64</v>
      </c>
      <c r="AP216">
        <v>0</v>
      </c>
      <c r="AQ216">
        <v>0.08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241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209"/>
        <v>4559.5200000000004</v>
      </c>
      <c r="CQ216">
        <f t="shared" si="210"/>
        <v>0</v>
      </c>
      <c r="CR216">
        <f>(((((ET216*118))*BB216-((EU216*118))*BS216)+AE216*BS216)*AV216)</f>
        <v>0</v>
      </c>
      <c r="CS216">
        <f t="shared" si="211"/>
        <v>0</v>
      </c>
      <c r="CT216">
        <f t="shared" si="212"/>
        <v>4559.5200000000004</v>
      </c>
      <c r="CU216">
        <f t="shared" si="213"/>
        <v>0</v>
      </c>
      <c r="CV216">
        <f t="shared" si="214"/>
        <v>9.44</v>
      </c>
      <c r="CW216">
        <f t="shared" si="215"/>
        <v>0</v>
      </c>
      <c r="CX216">
        <f t="shared" si="216"/>
        <v>0</v>
      </c>
      <c r="CY216">
        <f t="shared" si="217"/>
        <v>3191.6640000000002</v>
      </c>
      <c r="CZ216">
        <f t="shared" si="218"/>
        <v>455.95200000000006</v>
      </c>
      <c r="DC216" t="s">
        <v>3</v>
      </c>
      <c r="DD216" t="s">
        <v>201</v>
      </c>
      <c r="DE216" t="s">
        <v>201</v>
      </c>
      <c r="DF216" t="s">
        <v>201</v>
      </c>
      <c r="DG216" t="s">
        <v>201</v>
      </c>
      <c r="DH216" t="s">
        <v>3</v>
      </c>
      <c r="DI216" t="s">
        <v>201</v>
      </c>
      <c r="DJ216" t="s">
        <v>201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240</v>
      </c>
      <c r="DW216" t="s">
        <v>240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1364533919</v>
      </c>
      <c r="EF216">
        <v>1</v>
      </c>
      <c r="EG216" t="s">
        <v>21</v>
      </c>
      <c r="EH216">
        <v>0</v>
      </c>
      <c r="EI216" t="s">
        <v>3</v>
      </c>
      <c r="EJ216">
        <v>4</v>
      </c>
      <c r="EK216">
        <v>0</v>
      </c>
      <c r="EL216" t="s">
        <v>22</v>
      </c>
      <c r="EM216" t="s">
        <v>23</v>
      </c>
      <c r="EO216" t="s">
        <v>3</v>
      </c>
      <c r="EQ216">
        <v>0</v>
      </c>
      <c r="ER216">
        <v>38.64</v>
      </c>
      <c r="ES216">
        <v>0</v>
      </c>
      <c r="ET216">
        <v>0</v>
      </c>
      <c r="EU216">
        <v>0</v>
      </c>
      <c r="EV216">
        <v>38.64</v>
      </c>
      <c r="EW216">
        <v>0.08</v>
      </c>
      <c r="EX216">
        <v>0</v>
      </c>
      <c r="EY216">
        <v>0</v>
      </c>
      <c r="FQ216">
        <v>0</v>
      </c>
      <c r="FR216">
        <f t="shared" si="219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1568491500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</v>
      </c>
      <c r="GL216">
        <f t="shared" si="220"/>
        <v>0</v>
      </c>
      <c r="GM216">
        <f t="shared" si="221"/>
        <v>8207.1299999999992</v>
      </c>
      <c r="GN216">
        <f t="shared" si="222"/>
        <v>0</v>
      </c>
      <c r="GO216">
        <f t="shared" si="223"/>
        <v>0</v>
      </c>
      <c r="GP216">
        <f t="shared" si="224"/>
        <v>8207.1299999999992</v>
      </c>
      <c r="GR216">
        <v>0</v>
      </c>
      <c r="GS216">
        <v>3</v>
      </c>
      <c r="GT216">
        <v>0</v>
      </c>
      <c r="GU216" t="s">
        <v>3</v>
      </c>
      <c r="GV216">
        <f t="shared" si="225"/>
        <v>0</v>
      </c>
      <c r="GW216">
        <v>1</v>
      </c>
      <c r="GX216">
        <f t="shared" si="226"/>
        <v>0</v>
      </c>
      <c r="HA216">
        <v>0</v>
      </c>
      <c r="HB216">
        <v>0</v>
      </c>
      <c r="HC216">
        <f t="shared" si="227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ROW(EtalonRes!A103)</f>
        <v>103</v>
      </c>
      <c r="E217" t="s">
        <v>242</v>
      </c>
      <c r="F217" t="s">
        <v>243</v>
      </c>
      <c r="G217" t="s">
        <v>244</v>
      </c>
      <c r="H217" t="s">
        <v>240</v>
      </c>
      <c r="I217">
        <v>1</v>
      </c>
      <c r="J217">
        <v>0</v>
      </c>
      <c r="K217">
        <v>1</v>
      </c>
      <c r="O217">
        <f t="shared" si="195"/>
        <v>463.6</v>
      </c>
      <c r="P217">
        <f t="shared" si="196"/>
        <v>0</v>
      </c>
      <c r="Q217">
        <f t="shared" si="197"/>
        <v>0</v>
      </c>
      <c r="R217">
        <f t="shared" si="198"/>
        <v>0</v>
      </c>
      <c r="S217">
        <f t="shared" si="199"/>
        <v>463.6</v>
      </c>
      <c r="T217">
        <f t="shared" si="200"/>
        <v>0</v>
      </c>
      <c r="U217">
        <f t="shared" si="201"/>
        <v>0.96</v>
      </c>
      <c r="V217">
        <f t="shared" si="202"/>
        <v>0</v>
      </c>
      <c r="W217">
        <f t="shared" si="203"/>
        <v>0</v>
      </c>
      <c r="X217">
        <f t="shared" si="204"/>
        <v>324.52</v>
      </c>
      <c r="Y217">
        <f t="shared" si="205"/>
        <v>46.36</v>
      </c>
      <c r="AA217">
        <v>1407491423</v>
      </c>
      <c r="AB217">
        <f t="shared" si="206"/>
        <v>463.6</v>
      </c>
      <c r="AC217">
        <f>ROUND(((ES217*4)),6)</f>
        <v>0</v>
      </c>
      <c r="AD217">
        <f>ROUND(((((ET217*4))-((EU217*4)))+AE217),6)</f>
        <v>0</v>
      </c>
      <c r="AE217">
        <f>ROUND(((EU217*4)),6)</f>
        <v>0</v>
      </c>
      <c r="AF217">
        <f>ROUND(((EV217*4)),6)</f>
        <v>463.6</v>
      </c>
      <c r="AG217">
        <f t="shared" si="207"/>
        <v>0</v>
      </c>
      <c r="AH217">
        <f>((EW217*4))</f>
        <v>0.96</v>
      </c>
      <c r="AI217">
        <f>((EX217*4))</f>
        <v>0</v>
      </c>
      <c r="AJ217">
        <f t="shared" si="208"/>
        <v>0</v>
      </c>
      <c r="AK217">
        <v>115.9</v>
      </c>
      <c r="AL217">
        <v>0</v>
      </c>
      <c r="AM217">
        <v>0</v>
      </c>
      <c r="AN217">
        <v>0</v>
      </c>
      <c r="AO217">
        <v>115.9</v>
      </c>
      <c r="AP217">
        <v>0</v>
      </c>
      <c r="AQ217">
        <v>0.24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245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209"/>
        <v>463.6</v>
      </c>
      <c r="CQ217">
        <f t="shared" si="210"/>
        <v>0</v>
      </c>
      <c r="CR217">
        <f>(((((ET217*4))*BB217-((EU217*4))*BS217)+AE217*BS217)*AV217)</f>
        <v>0</v>
      </c>
      <c r="CS217">
        <f t="shared" si="211"/>
        <v>0</v>
      </c>
      <c r="CT217">
        <f t="shared" si="212"/>
        <v>463.6</v>
      </c>
      <c r="CU217">
        <f t="shared" si="213"/>
        <v>0</v>
      </c>
      <c r="CV217">
        <f t="shared" si="214"/>
        <v>0.96</v>
      </c>
      <c r="CW217">
        <f t="shared" si="215"/>
        <v>0</v>
      </c>
      <c r="CX217">
        <f t="shared" si="216"/>
        <v>0</v>
      </c>
      <c r="CY217">
        <f t="shared" si="217"/>
        <v>324.52</v>
      </c>
      <c r="CZ217">
        <f t="shared" si="218"/>
        <v>46.36</v>
      </c>
      <c r="DC217" t="s">
        <v>3</v>
      </c>
      <c r="DD217" t="s">
        <v>20</v>
      </c>
      <c r="DE217" t="s">
        <v>20</v>
      </c>
      <c r="DF217" t="s">
        <v>20</v>
      </c>
      <c r="DG217" t="s">
        <v>20</v>
      </c>
      <c r="DH217" t="s">
        <v>3</v>
      </c>
      <c r="DI217" t="s">
        <v>20</v>
      </c>
      <c r="DJ217" t="s">
        <v>20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240</v>
      </c>
      <c r="DW217" t="s">
        <v>240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1364533919</v>
      </c>
      <c r="EF217">
        <v>1</v>
      </c>
      <c r="EG217" t="s">
        <v>21</v>
      </c>
      <c r="EH217">
        <v>0</v>
      </c>
      <c r="EI217" t="s">
        <v>3</v>
      </c>
      <c r="EJ217">
        <v>4</v>
      </c>
      <c r="EK217">
        <v>0</v>
      </c>
      <c r="EL217" t="s">
        <v>22</v>
      </c>
      <c r="EM217" t="s">
        <v>23</v>
      </c>
      <c r="EO217" t="s">
        <v>3</v>
      </c>
      <c r="EQ217">
        <v>0</v>
      </c>
      <c r="ER217">
        <v>115.9</v>
      </c>
      <c r="ES217">
        <v>0</v>
      </c>
      <c r="ET217">
        <v>0</v>
      </c>
      <c r="EU217">
        <v>0</v>
      </c>
      <c r="EV217">
        <v>115.9</v>
      </c>
      <c r="EW217">
        <v>0.24</v>
      </c>
      <c r="EX217">
        <v>0</v>
      </c>
      <c r="EY217">
        <v>0</v>
      </c>
      <c r="FQ217">
        <v>0</v>
      </c>
      <c r="FR217">
        <f t="shared" si="219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414846122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 t="shared" si="220"/>
        <v>0</v>
      </c>
      <c r="GM217">
        <f t="shared" si="221"/>
        <v>834.48</v>
      </c>
      <c r="GN217">
        <f t="shared" si="222"/>
        <v>0</v>
      </c>
      <c r="GO217">
        <f t="shared" si="223"/>
        <v>0</v>
      </c>
      <c r="GP217">
        <f t="shared" si="224"/>
        <v>834.48</v>
      </c>
      <c r="GR217">
        <v>0</v>
      </c>
      <c r="GS217">
        <v>3</v>
      </c>
      <c r="GT217">
        <v>0</v>
      </c>
      <c r="GU217" t="s">
        <v>3</v>
      </c>
      <c r="GV217">
        <f t="shared" si="225"/>
        <v>0</v>
      </c>
      <c r="GW217">
        <v>1</v>
      </c>
      <c r="GX217">
        <f t="shared" si="226"/>
        <v>0</v>
      </c>
      <c r="HA217">
        <v>0</v>
      </c>
      <c r="HB217">
        <v>0</v>
      </c>
      <c r="HC217">
        <f t="shared" si="227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ROW(EtalonRes!A107)</f>
        <v>107</v>
      </c>
      <c r="E218" t="s">
        <v>246</v>
      </c>
      <c r="F218" t="s">
        <v>247</v>
      </c>
      <c r="G218" t="s">
        <v>248</v>
      </c>
      <c r="H218" t="s">
        <v>240</v>
      </c>
      <c r="I218">
        <v>1</v>
      </c>
      <c r="J218">
        <v>0</v>
      </c>
      <c r="K218">
        <v>1</v>
      </c>
      <c r="O218">
        <f t="shared" si="195"/>
        <v>1138.6400000000001</v>
      </c>
      <c r="P218">
        <f t="shared" si="196"/>
        <v>20.52</v>
      </c>
      <c r="Q218">
        <f t="shared" si="197"/>
        <v>0.85</v>
      </c>
      <c r="R218">
        <f t="shared" si="198"/>
        <v>0</v>
      </c>
      <c r="S218">
        <f t="shared" si="199"/>
        <v>1117.27</v>
      </c>
      <c r="T218">
        <f t="shared" si="200"/>
        <v>0</v>
      </c>
      <c r="U218">
        <f t="shared" si="201"/>
        <v>1.96</v>
      </c>
      <c r="V218">
        <f t="shared" si="202"/>
        <v>0</v>
      </c>
      <c r="W218">
        <f t="shared" si="203"/>
        <v>0</v>
      </c>
      <c r="X218">
        <f t="shared" si="204"/>
        <v>782.09</v>
      </c>
      <c r="Y218">
        <f t="shared" si="205"/>
        <v>111.73</v>
      </c>
      <c r="AA218">
        <v>1407491423</v>
      </c>
      <c r="AB218">
        <f t="shared" si="206"/>
        <v>1138.6400000000001</v>
      </c>
      <c r="AC218">
        <f>ROUND((ES218),6)</f>
        <v>20.52</v>
      </c>
      <c r="AD218">
        <f>ROUND((((ET218)-(EU218))+AE218),6)</f>
        <v>0.85</v>
      </c>
      <c r="AE218">
        <f t="shared" ref="AE218:AF220" si="228">ROUND((EU218),6)</f>
        <v>0</v>
      </c>
      <c r="AF218">
        <f t="shared" si="228"/>
        <v>1117.27</v>
      </c>
      <c r="AG218">
        <f t="shared" si="207"/>
        <v>0</v>
      </c>
      <c r="AH218">
        <f t="shared" ref="AH218:AI220" si="229">(EW218)</f>
        <v>1.96</v>
      </c>
      <c r="AI218">
        <f t="shared" si="229"/>
        <v>0</v>
      </c>
      <c r="AJ218">
        <f t="shared" si="208"/>
        <v>0</v>
      </c>
      <c r="AK218">
        <v>1138.6400000000001</v>
      </c>
      <c r="AL218">
        <v>20.52</v>
      </c>
      <c r="AM218">
        <v>0.85</v>
      </c>
      <c r="AN218">
        <v>0</v>
      </c>
      <c r="AO218">
        <v>1117.27</v>
      </c>
      <c r="AP218">
        <v>0</v>
      </c>
      <c r="AQ218">
        <v>1.96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249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209"/>
        <v>1138.6399999999999</v>
      </c>
      <c r="CQ218">
        <f t="shared" si="210"/>
        <v>20.52</v>
      </c>
      <c r="CR218">
        <f>((((ET218)*BB218-(EU218)*BS218)+AE218*BS218)*AV218)</f>
        <v>0.85</v>
      </c>
      <c r="CS218">
        <f t="shared" si="211"/>
        <v>0</v>
      </c>
      <c r="CT218">
        <f t="shared" si="212"/>
        <v>1117.27</v>
      </c>
      <c r="CU218">
        <f t="shared" si="213"/>
        <v>0</v>
      </c>
      <c r="CV218">
        <f t="shared" si="214"/>
        <v>1.96</v>
      </c>
      <c r="CW218">
        <f t="shared" si="215"/>
        <v>0</v>
      </c>
      <c r="CX218">
        <f t="shared" si="216"/>
        <v>0</v>
      </c>
      <c r="CY218">
        <f t="shared" si="217"/>
        <v>782.08899999999994</v>
      </c>
      <c r="CZ218">
        <f t="shared" si="218"/>
        <v>111.727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1013</v>
      </c>
      <c r="DV218" t="s">
        <v>240</v>
      </c>
      <c r="DW218" t="s">
        <v>240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1364533919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0</v>
      </c>
      <c r="ER218">
        <v>1138.6400000000001</v>
      </c>
      <c r="ES218">
        <v>20.52</v>
      </c>
      <c r="ET218">
        <v>0.85</v>
      </c>
      <c r="EU218">
        <v>0</v>
      </c>
      <c r="EV218">
        <v>1117.27</v>
      </c>
      <c r="EW218">
        <v>1.96</v>
      </c>
      <c r="EX218">
        <v>0</v>
      </c>
      <c r="EY218">
        <v>0</v>
      </c>
      <c r="FQ218">
        <v>0</v>
      </c>
      <c r="FR218">
        <f t="shared" si="219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-808713962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 t="shared" si="220"/>
        <v>0</v>
      </c>
      <c r="GM218">
        <f t="shared" si="221"/>
        <v>2032.46</v>
      </c>
      <c r="GN218">
        <f t="shared" si="222"/>
        <v>0</v>
      </c>
      <c r="GO218">
        <f t="shared" si="223"/>
        <v>0</v>
      </c>
      <c r="GP218">
        <f t="shared" si="224"/>
        <v>2032.46</v>
      </c>
      <c r="GR218">
        <v>0</v>
      </c>
      <c r="GS218">
        <v>3</v>
      </c>
      <c r="GT218">
        <v>0</v>
      </c>
      <c r="GU218" t="s">
        <v>3</v>
      </c>
      <c r="GV218">
        <f t="shared" si="225"/>
        <v>0</v>
      </c>
      <c r="GW218">
        <v>1</v>
      </c>
      <c r="GX218">
        <f t="shared" si="226"/>
        <v>0</v>
      </c>
      <c r="HA218">
        <v>0</v>
      </c>
      <c r="HB218">
        <v>0</v>
      </c>
      <c r="HC218">
        <f t="shared" si="227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ROW(EtalonRes!A112)</f>
        <v>112</v>
      </c>
      <c r="E219" t="s">
        <v>250</v>
      </c>
      <c r="F219" t="s">
        <v>251</v>
      </c>
      <c r="G219" t="s">
        <v>252</v>
      </c>
      <c r="H219" t="s">
        <v>240</v>
      </c>
      <c r="I219">
        <v>1</v>
      </c>
      <c r="J219">
        <v>0</v>
      </c>
      <c r="K219">
        <v>1</v>
      </c>
      <c r="O219">
        <f t="shared" si="195"/>
        <v>1314.47</v>
      </c>
      <c r="P219">
        <f t="shared" si="196"/>
        <v>25.34</v>
      </c>
      <c r="Q219">
        <f t="shared" si="197"/>
        <v>0.85</v>
      </c>
      <c r="R219">
        <f t="shared" si="198"/>
        <v>0</v>
      </c>
      <c r="S219">
        <f t="shared" si="199"/>
        <v>1288.28</v>
      </c>
      <c r="T219">
        <f t="shared" si="200"/>
        <v>0</v>
      </c>
      <c r="U219">
        <f t="shared" si="201"/>
        <v>2.2599999999999998</v>
      </c>
      <c r="V219">
        <f t="shared" si="202"/>
        <v>0</v>
      </c>
      <c r="W219">
        <f t="shared" si="203"/>
        <v>0</v>
      </c>
      <c r="X219">
        <f t="shared" si="204"/>
        <v>901.8</v>
      </c>
      <c r="Y219">
        <f t="shared" si="205"/>
        <v>128.83000000000001</v>
      </c>
      <c r="AA219">
        <v>1407491423</v>
      </c>
      <c r="AB219">
        <f t="shared" si="206"/>
        <v>1314.47</v>
      </c>
      <c r="AC219">
        <f>ROUND((ES219),6)</f>
        <v>25.34</v>
      </c>
      <c r="AD219">
        <f>ROUND((((ET219)-(EU219))+AE219),6)</f>
        <v>0.85</v>
      </c>
      <c r="AE219">
        <f t="shared" si="228"/>
        <v>0</v>
      </c>
      <c r="AF219">
        <f t="shared" si="228"/>
        <v>1288.28</v>
      </c>
      <c r="AG219">
        <f t="shared" si="207"/>
        <v>0</v>
      </c>
      <c r="AH219">
        <f t="shared" si="229"/>
        <v>2.2599999999999998</v>
      </c>
      <c r="AI219">
        <f t="shared" si="229"/>
        <v>0</v>
      </c>
      <c r="AJ219">
        <f t="shared" si="208"/>
        <v>0</v>
      </c>
      <c r="AK219">
        <v>1314.47</v>
      </c>
      <c r="AL219">
        <v>25.34</v>
      </c>
      <c r="AM219">
        <v>0.85</v>
      </c>
      <c r="AN219">
        <v>0</v>
      </c>
      <c r="AO219">
        <v>1288.28</v>
      </c>
      <c r="AP219">
        <v>0</v>
      </c>
      <c r="AQ219">
        <v>2.2599999999999998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253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209"/>
        <v>1314.47</v>
      </c>
      <c r="CQ219">
        <f t="shared" si="210"/>
        <v>25.34</v>
      </c>
      <c r="CR219">
        <f>((((ET219)*BB219-(EU219)*BS219)+AE219*BS219)*AV219)</f>
        <v>0.85</v>
      </c>
      <c r="CS219">
        <f t="shared" si="211"/>
        <v>0</v>
      </c>
      <c r="CT219">
        <f t="shared" si="212"/>
        <v>1288.28</v>
      </c>
      <c r="CU219">
        <f t="shared" si="213"/>
        <v>0</v>
      </c>
      <c r="CV219">
        <f t="shared" si="214"/>
        <v>2.2599999999999998</v>
      </c>
      <c r="CW219">
        <f t="shared" si="215"/>
        <v>0</v>
      </c>
      <c r="CX219">
        <f t="shared" si="216"/>
        <v>0</v>
      </c>
      <c r="CY219">
        <f t="shared" si="217"/>
        <v>901.79599999999994</v>
      </c>
      <c r="CZ219">
        <f t="shared" si="218"/>
        <v>128.828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1013</v>
      </c>
      <c r="DV219" t="s">
        <v>240</v>
      </c>
      <c r="DW219" t="s">
        <v>240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1364533919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0</v>
      </c>
      <c r="ER219">
        <v>1314.47</v>
      </c>
      <c r="ES219">
        <v>25.34</v>
      </c>
      <c r="ET219">
        <v>0.85</v>
      </c>
      <c r="EU219">
        <v>0</v>
      </c>
      <c r="EV219">
        <v>1288.28</v>
      </c>
      <c r="EW219">
        <v>2.2599999999999998</v>
      </c>
      <c r="EX219">
        <v>0</v>
      </c>
      <c r="EY219">
        <v>0</v>
      </c>
      <c r="FQ219">
        <v>0</v>
      </c>
      <c r="FR219">
        <f t="shared" si="219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172182091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</v>
      </c>
      <c r="GL219">
        <f t="shared" si="220"/>
        <v>0</v>
      </c>
      <c r="GM219">
        <f t="shared" si="221"/>
        <v>2345.1</v>
      </c>
      <c r="GN219">
        <f t="shared" si="222"/>
        <v>0</v>
      </c>
      <c r="GO219">
        <f t="shared" si="223"/>
        <v>0</v>
      </c>
      <c r="GP219">
        <f t="shared" si="224"/>
        <v>2345.1</v>
      </c>
      <c r="GR219">
        <v>0</v>
      </c>
      <c r="GS219">
        <v>3</v>
      </c>
      <c r="GT219">
        <v>0</v>
      </c>
      <c r="GU219" t="s">
        <v>3</v>
      </c>
      <c r="GV219">
        <f t="shared" si="225"/>
        <v>0</v>
      </c>
      <c r="GW219">
        <v>1</v>
      </c>
      <c r="GX219">
        <f t="shared" si="226"/>
        <v>0</v>
      </c>
      <c r="HA219">
        <v>0</v>
      </c>
      <c r="HB219">
        <v>0</v>
      </c>
      <c r="HC219">
        <f t="shared" si="227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ROW(EtalonRes!A115)</f>
        <v>115</v>
      </c>
      <c r="E220" t="s">
        <v>254</v>
      </c>
      <c r="F220" t="s">
        <v>255</v>
      </c>
      <c r="G220" t="s">
        <v>256</v>
      </c>
      <c r="H220" t="s">
        <v>42</v>
      </c>
      <c r="I220">
        <v>8</v>
      </c>
      <c r="J220">
        <v>0</v>
      </c>
      <c r="K220">
        <v>8</v>
      </c>
      <c r="O220">
        <f t="shared" si="195"/>
        <v>7257.76</v>
      </c>
      <c r="P220">
        <f t="shared" si="196"/>
        <v>4.16</v>
      </c>
      <c r="Q220">
        <f t="shared" si="197"/>
        <v>1073.1199999999999</v>
      </c>
      <c r="R220">
        <f t="shared" si="198"/>
        <v>582.08000000000004</v>
      </c>
      <c r="S220">
        <f t="shared" si="199"/>
        <v>6180.48</v>
      </c>
      <c r="T220">
        <f t="shared" si="200"/>
        <v>0</v>
      </c>
      <c r="U220">
        <f t="shared" si="201"/>
        <v>13.44</v>
      </c>
      <c r="V220">
        <f t="shared" si="202"/>
        <v>0</v>
      </c>
      <c r="W220">
        <f t="shared" si="203"/>
        <v>0</v>
      </c>
      <c r="X220">
        <f t="shared" si="204"/>
        <v>4326.34</v>
      </c>
      <c r="Y220">
        <f t="shared" si="205"/>
        <v>618.04999999999995</v>
      </c>
      <c r="AA220">
        <v>1407491423</v>
      </c>
      <c r="AB220">
        <f t="shared" si="206"/>
        <v>907.22</v>
      </c>
      <c r="AC220">
        <f>ROUND((ES220),6)</f>
        <v>0.52</v>
      </c>
      <c r="AD220">
        <f>ROUND((((ET220)-(EU220))+AE220),6)</f>
        <v>134.13999999999999</v>
      </c>
      <c r="AE220">
        <f t="shared" si="228"/>
        <v>72.760000000000005</v>
      </c>
      <c r="AF220">
        <f t="shared" si="228"/>
        <v>772.56</v>
      </c>
      <c r="AG220">
        <f t="shared" si="207"/>
        <v>0</v>
      </c>
      <c r="AH220">
        <f t="shared" si="229"/>
        <v>1.68</v>
      </c>
      <c r="AI220">
        <f t="shared" si="229"/>
        <v>0</v>
      </c>
      <c r="AJ220">
        <f t="shared" si="208"/>
        <v>0</v>
      </c>
      <c r="AK220">
        <v>907.22</v>
      </c>
      <c r="AL220">
        <v>0.52</v>
      </c>
      <c r="AM220">
        <v>134.13999999999999</v>
      </c>
      <c r="AN220">
        <v>72.760000000000005</v>
      </c>
      <c r="AO220">
        <v>772.56</v>
      </c>
      <c r="AP220">
        <v>0</v>
      </c>
      <c r="AQ220">
        <v>1.68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257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209"/>
        <v>7257.7599999999993</v>
      </c>
      <c r="CQ220">
        <f t="shared" si="210"/>
        <v>0.52</v>
      </c>
      <c r="CR220">
        <f>((((ET220)*BB220-(EU220)*BS220)+AE220*BS220)*AV220)</f>
        <v>134.13999999999999</v>
      </c>
      <c r="CS220">
        <f t="shared" si="211"/>
        <v>72.760000000000005</v>
      </c>
      <c r="CT220">
        <f t="shared" si="212"/>
        <v>772.56</v>
      </c>
      <c r="CU220">
        <f t="shared" si="213"/>
        <v>0</v>
      </c>
      <c r="CV220">
        <f t="shared" si="214"/>
        <v>1.68</v>
      </c>
      <c r="CW220">
        <f t="shared" si="215"/>
        <v>0</v>
      </c>
      <c r="CX220">
        <f t="shared" si="216"/>
        <v>0</v>
      </c>
      <c r="CY220">
        <f t="shared" si="217"/>
        <v>4326.3359999999993</v>
      </c>
      <c r="CZ220">
        <f t="shared" si="218"/>
        <v>618.048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42</v>
      </c>
      <c r="DW220" t="s">
        <v>42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1364533919</v>
      </c>
      <c r="EF220">
        <v>1</v>
      </c>
      <c r="EG220" t="s">
        <v>21</v>
      </c>
      <c r="EH220">
        <v>0</v>
      </c>
      <c r="EI220" t="s">
        <v>3</v>
      </c>
      <c r="EJ220">
        <v>4</v>
      </c>
      <c r="EK220">
        <v>0</v>
      </c>
      <c r="EL220" t="s">
        <v>22</v>
      </c>
      <c r="EM220" t="s">
        <v>23</v>
      </c>
      <c r="EO220" t="s">
        <v>3</v>
      </c>
      <c r="EQ220">
        <v>0</v>
      </c>
      <c r="ER220">
        <v>907.22</v>
      </c>
      <c r="ES220">
        <v>0.52</v>
      </c>
      <c r="ET220">
        <v>134.13999999999999</v>
      </c>
      <c r="EU220">
        <v>72.760000000000005</v>
      </c>
      <c r="EV220">
        <v>772.56</v>
      </c>
      <c r="EW220">
        <v>1.68</v>
      </c>
      <c r="EX220">
        <v>0</v>
      </c>
      <c r="EY220">
        <v>0</v>
      </c>
      <c r="FQ220">
        <v>0</v>
      </c>
      <c r="FR220">
        <f t="shared" si="219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-1186569785</v>
      </c>
      <c r="GG220">
        <v>2</v>
      </c>
      <c r="GH220">
        <v>1</v>
      </c>
      <c r="GI220">
        <v>-2</v>
      </c>
      <c r="GJ220">
        <v>0</v>
      </c>
      <c r="GK220">
        <f>ROUND(R220*(R12)/100,2)</f>
        <v>628.65</v>
      </c>
      <c r="GL220">
        <f t="shared" si="220"/>
        <v>0</v>
      </c>
      <c r="GM220">
        <f t="shared" si="221"/>
        <v>12830.8</v>
      </c>
      <c r="GN220">
        <f t="shared" si="222"/>
        <v>0</v>
      </c>
      <c r="GO220">
        <f t="shared" si="223"/>
        <v>0</v>
      </c>
      <c r="GP220">
        <f t="shared" si="224"/>
        <v>12830.8</v>
      </c>
      <c r="GR220">
        <v>0</v>
      </c>
      <c r="GS220">
        <v>3</v>
      </c>
      <c r="GT220">
        <v>0</v>
      </c>
      <c r="GU220" t="s">
        <v>3</v>
      </c>
      <c r="GV220">
        <f t="shared" si="225"/>
        <v>0</v>
      </c>
      <c r="GW220">
        <v>1</v>
      </c>
      <c r="GX220">
        <f t="shared" si="226"/>
        <v>0</v>
      </c>
      <c r="HA220">
        <v>0</v>
      </c>
      <c r="HB220">
        <v>0</v>
      </c>
      <c r="HC220">
        <f t="shared" si="227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D221">
        <f>ROW(EtalonRes!A117)</f>
        <v>117</v>
      </c>
      <c r="E221" t="s">
        <v>258</v>
      </c>
      <c r="F221" t="s">
        <v>259</v>
      </c>
      <c r="G221" t="s">
        <v>260</v>
      </c>
      <c r="H221" t="s">
        <v>42</v>
      </c>
      <c r="I221">
        <v>38</v>
      </c>
      <c r="J221">
        <v>0</v>
      </c>
      <c r="K221">
        <v>38</v>
      </c>
      <c r="O221">
        <f t="shared" si="195"/>
        <v>18741.599999999999</v>
      </c>
      <c r="P221">
        <f t="shared" si="196"/>
        <v>197.6</v>
      </c>
      <c r="Q221">
        <f t="shared" si="197"/>
        <v>0</v>
      </c>
      <c r="R221">
        <f t="shared" si="198"/>
        <v>0</v>
      </c>
      <c r="S221">
        <f t="shared" si="199"/>
        <v>18544</v>
      </c>
      <c r="T221">
        <f t="shared" si="200"/>
        <v>0</v>
      </c>
      <c r="U221">
        <f t="shared" si="201"/>
        <v>34.96</v>
      </c>
      <c r="V221">
        <f t="shared" si="202"/>
        <v>0</v>
      </c>
      <c r="W221">
        <f t="shared" si="203"/>
        <v>0</v>
      </c>
      <c r="X221">
        <f t="shared" si="204"/>
        <v>12980.8</v>
      </c>
      <c r="Y221">
        <f t="shared" si="205"/>
        <v>1854.4</v>
      </c>
      <c r="AA221">
        <v>1407491423</v>
      </c>
      <c r="AB221">
        <f t="shared" si="206"/>
        <v>493.2</v>
      </c>
      <c r="AC221">
        <f>ROUND(((ES221*4)),6)</f>
        <v>5.2</v>
      </c>
      <c r="AD221">
        <f>ROUND(((((ET221*4))-((EU221*4)))+AE221),6)</f>
        <v>0</v>
      </c>
      <c r="AE221">
        <f>ROUND(((EU221*4)),6)</f>
        <v>0</v>
      </c>
      <c r="AF221">
        <f>ROUND(((EV221*4)),6)</f>
        <v>488</v>
      </c>
      <c r="AG221">
        <f t="shared" si="207"/>
        <v>0</v>
      </c>
      <c r="AH221">
        <f>((EW221*4))</f>
        <v>0.92</v>
      </c>
      <c r="AI221">
        <f>((EX221*4))</f>
        <v>0</v>
      </c>
      <c r="AJ221">
        <f t="shared" si="208"/>
        <v>0</v>
      </c>
      <c r="AK221">
        <v>123.3</v>
      </c>
      <c r="AL221">
        <v>1.3</v>
      </c>
      <c r="AM221">
        <v>0</v>
      </c>
      <c r="AN221">
        <v>0</v>
      </c>
      <c r="AO221">
        <v>122</v>
      </c>
      <c r="AP221">
        <v>0</v>
      </c>
      <c r="AQ221">
        <v>0.23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261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209"/>
        <v>18741.599999999999</v>
      </c>
      <c r="CQ221">
        <f t="shared" si="210"/>
        <v>5.2</v>
      </c>
      <c r="CR221">
        <f>(((((ET221*4))*BB221-((EU221*4))*BS221)+AE221*BS221)*AV221)</f>
        <v>0</v>
      </c>
      <c r="CS221">
        <f t="shared" si="211"/>
        <v>0</v>
      </c>
      <c r="CT221">
        <f t="shared" si="212"/>
        <v>488</v>
      </c>
      <c r="CU221">
        <f t="shared" si="213"/>
        <v>0</v>
      </c>
      <c r="CV221">
        <f t="shared" si="214"/>
        <v>0.92</v>
      </c>
      <c r="CW221">
        <f t="shared" si="215"/>
        <v>0</v>
      </c>
      <c r="CX221">
        <f t="shared" si="216"/>
        <v>0</v>
      </c>
      <c r="CY221">
        <f t="shared" si="217"/>
        <v>12980.8</v>
      </c>
      <c r="CZ221">
        <f t="shared" si="218"/>
        <v>1854.4</v>
      </c>
      <c r="DC221" t="s">
        <v>3</v>
      </c>
      <c r="DD221" t="s">
        <v>20</v>
      </c>
      <c r="DE221" t="s">
        <v>20</v>
      </c>
      <c r="DF221" t="s">
        <v>20</v>
      </c>
      <c r="DG221" t="s">
        <v>20</v>
      </c>
      <c r="DH221" t="s">
        <v>3</v>
      </c>
      <c r="DI221" t="s">
        <v>20</v>
      </c>
      <c r="DJ221" t="s">
        <v>20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42</v>
      </c>
      <c r="DW221" t="s">
        <v>42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1364533919</v>
      </c>
      <c r="EF221">
        <v>1</v>
      </c>
      <c r="EG221" t="s">
        <v>21</v>
      </c>
      <c r="EH221">
        <v>0</v>
      </c>
      <c r="EI221" t="s">
        <v>3</v>
      </c>
      <c r="EJ221">
        <v>4</v>
      </c>
      <c r="EK221">
        <v>0</v>
      </c>
      <c r="EL221" t="s">
        <v>22</v>
      </c>
      <c r="EM221" t="s">
        <v>23</v>
      </c>
      <c r="EO221" t="s">
        <v>3</v>
      </c>
      <c r="EQ221">
        <v>0</v>
      </c>
      <c r="ER221">
        <v>123.3</v>
      </c>
      <c r="ES221">
        <v>1.3</v>
      </c>
      <c r="ET221">
        <v>0</v>
      </c>
      <c r="EU221">
        <v>0</v>
      </c>
      <c r="EV221">
        <v>122</v>
      </c>
      <c r="EW221">
        <v>0.23</v>
      </c>
      <c r="EX221">
        <v>0</v>
      </c>
      <c r="EY221">
        <v>0</v>
      </c>
      <c r="FQ221">
        <v>0</v>
      </c>
      <c r="FR221">
        <f t="shared" si="219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962194121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</v>
      </c>
      <c r="GL221">
        <f t="shared" si="220"/>
        <v>0</v>
      </c>
      <c r="GM221">
        <f t="shared" si="221"/>
        <v>33576.800000000003</v>
      </c>
      <c r="GN221">
        <f t="shared" si="222"/>
        <v>0</v>
      </c>
      <c r="GO221">
        <f t="shared" si="223"/>
        <v>0</v>
      </c>
      <c r="GP221">
        <f t="shared" si="224"/>
        <v>33576.800000000003</v>
      </c>
      <c r="GR221">
        <v>0</v>
      </c>
      <c r="GS221">
        <v>3</v>
      </c>
      <c r="GT221">
        <v>0</v>
      </c>
      <c r="GU221" t="s">
        <v>3</v>
      </c>
      <c r="GV221">
        <f t="shared" si="225"/>
        <v>0</v>
      </c>
      <c r="GW221">
        <v>1</v>
      </c>
      <c r="GX221">
        <f t="shared" si="226"/>
        <v>0</v>
      </c>
      <c r="HA221">
        <v>0</v>
      </c>
      <c r="HB221">
        <v>0</v>
      </c>
      <c r="HC221">
        <f t="shared" si="227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D222">
        <f>ROW(EtalonRes!A118)</f>
        <v>118</v>
      </c>
      <c r="E222" t="s">
        <v>262</v>
      </c>
      <c r="F222" t="s">
        <v>263</v>
      </c>
      <c r="G222" t="s">
        <v>264</v>
      </c>
      <c r="H222" t="s">
        <v>42</v>
      </c>
      <c r="I222">
        <v>38</v>
      </c>
      <c r="J222">
        <v>0</v>
      </c>
      <c r="K222">
        <v>38</v>
      </c>
      <c r="O222">
        <f t="shared" si="195"/>
        <v>166490.92000000001</v>
      </c>
      <c r="P222">
        <f t="shared" si="196"/>
        <v>0</v>
      </c>
      <c r="Q222">
        <f t="shared" si="197"/>
        <v>0</v>
      </c>
      <c r="R222">
        <f t="shared" si="198"/>
        <v>0</v>
      </c>
      <c r="S222">
        <f t="shared" si="199"/>
        <v>166490.92000000001</v>
      </c>
      <c r="T222">
        <f t="shared" si="200"/>
        <v>0</v>
      </c>
      <c r="U222">
        <f t="shared" si="201"/>
        <v>313.88000000000005</v>
      </c>
      <c r="V222">
        <f t="shared" si="202"/>
        <v>0</v>
      </c>
      <c r="W222">
        <f t="shared" si="203"/>
        <v>0</v>
      </c>
      <c r="X222">
        <f t="shared" si="204"/>
        <v>116543.64</v>
      </c>
      <c r="Y222">
        <f t="shared" si="205"/>
        <v>16649.09</v>
      </c>
      <c r="AA222">
        <v>1407491423</v>
      </c>
      <c r="AB222">
        <f t="shared" si="206"/>
        <v>4381.34</v>
      </c>
      <c r="AC222">
        <f>ROUND(((ES222*118)),6)</f>
        <v>0</v>
      </c>
      <c r="AD222">
        <f>ROUND(((((ET222*118))-((EU222*118)))+AE222),6)</f>
        <v>0</v>
      </c>
      <c r="AE222">
        <f>ROUND(((EU222*118)),6)</f>
        <v>0</v>
      </c>
      <c r="AF222">
        <f>ROUND(((EV222*118)),6)</f>
        <v>4381.34</v>
      </c>
      <c r="AG222">
        <f t="shared" si="207"/>
        <v>0</v>
      </c>
      <c r="AH222">
        <f>((EW222*118))</f>
        <v>8.2600000000000016</v>
      </c>
      <c r="AI222">
        <f>((EX222*118))</f>
        <v>0</v>
      </c>
      <c r="AJ222">
        <f t="shared" si="208"/>
        <v>0</v>
      </c>
      <c r="AK222">
        <v>37.130000000000003</v>
      </c>
      <c r="AL222">
        <v>0</v>
      </c>
      <c r="AM222">
        <v>0</v>
      </c>
      <c r="AN222">
        <v>0</v>
      </c>
      <c r="AO222">
        <v>37.130000000000003</v>
      </c>
      <c r="AP222">
        <v>0</v>
      </c>
      <c r="AQ222">
        <v>7.0000000000000007E-2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265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209"/>
        <v>166490.92000000001</v>
      </c>
      <c r="CQ222">
        <f t="shared" si="210"/>
        <v>0</v>
      </c>
      <c r="CR222">
        <f>(((((ET222*118))*BB222-((EU222*118))*BS222)+AE222*BS222)*AV222)</f>
        <v>0</v>
      </c>
      <c r="CS222">
        <f t="shared" si="211"/>
        <v>0</v>
      </c>
      <c r="CT222">
        <f t="shared" si="212"/>
        <v>4381.34</v>
      </c>
      <c r="CU222">
        <f t="shared" si="213"/>
        <v>0</v>
      </c>
      <c r="CV222">
        <f t="shared" si="214"/>
        <v>8.2600000000000016</v>
      </c>
      <c r="CW222">
        <f t="shared" si="215"/>
        <v>0</v>
      </c>
      <c r="CX222">
        <f t="shared" si="216"/>
        <v>0</v>
      </c>
      <c r="CY222">
        <f t="shared" si="217"/>
        <v>116543.644</v>
      </c>
      <c r="CZ222">
        <f t="shared" si="218"/>
        <v>16649.092000000001</v>
      </c>
      <c r="DC222" t="s">
        <v>3</v>
      </c>
      <c r="DD222" t="s">
        <v>201</v>
      </c>
      <c r="DE222" t="s">
        <v>201</v>
      </c>
      <c r="DF222" t="s">
        <v>201</v>
      </c>
      <c r="DG222" t="s">
        <v>201</v>
      </c>
      <c r="DH222" t="s">
        <v>3</v>
      </c>
      <c r="DI222" t="s">
        <v>201</v>
      </c>
      <c r="DJ222" t="s">
        <v>201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42</v>
      </c>
      <c r="DW222" t="s">
        <v>42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1364533919</v>
      </c>
      <c r="EF222">
        <v>1</v>
      </c>
      <c r="EG222" t="s">
        <v>21</v>
      </c>
      <c r="EH222">
        <v>0</v>
      </c>
      <c r="EI222" t="s">
        <v>3</v>
      </c>
      <c r="EJ222">
        <v>4</v>
      </c>
      <c r="EK222">
        <v>0</v>
      </c>
      <c r="EL222" t="s">
        <v>22</v>
      </c>
      <c r="EM222" t="s">
        <v>23</v>
      </c>
      <c r="EO222" t="s">
        <v>3</v>
      </c>
      <c r="EQ222">
        <v>0</v>
      </c>
      <c r="ER222">
        <v>37.130000000000003</v>
      </c>
      <c r="ES222">
        <v>0</v>
      </c>
      <c r="ET222">
        <v>0</v>
      </c>
      <c r="EU222">
        <v>0</v>
      </c>
      <c r="EV222">
        <v>37.130000000000003</v>
      </c>
      <c r="EW222">
        <v>7.0000000000000007E-2</v>
      </c>
      <c r="EX222">
        <v>0</v>
      </c>
      <c r="EY222">
        <v>0</v>
      </c>
      <c r="FQ222">
        <v>0</v>
      </c>
      <c r="FR222">
        <f t="shared" si="219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359900101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220"/>
        <v>0</v>
      </c>
      <c r="GM222">
        <f t="shared" si="221"/>
        <v>299683.65000000002</v>
      </c>
      <c r="GN222">
        <f t="shared" si="222"/>
        <v>0</v>
      </c>
      <c r="GO222">
        <f t="shared" si="223"/>
        <v>0</v>
      </c>
      <c r="GP222">
        <f t="shared" si="224"/>
        <v>299683.65000000002</v>
      </c>
      <c r="GR222">
        <v>0</v>
      </c>
      <c r="GS222">
        <v>3</v>
      </c>
      <c r="GT222">
        <v>0</v>
      </c>
      <c r="GU222" t="s">
        <v>3</v>
      </c>
      <c r="GV222">
        <f t="shared" si="225"/>
        <v>0</v>
      </c>
      <c r="GW222">
        <v>1</v>
      </c>
      <c r="GX222">
        <f t="shared" si="226"/>
        <v>0</v>
      </c>
      <c r="HA222">
        <v>0</v>
      </c>
      <c r="HB222">
        <v>0</v>
      </c>
      <c r="HC222">
        <f t="shared" si="227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ROW(EtalonRes!A121)</f>
        <v>121</v>
      </c>
      <c r="E223" t="s">
        <v>266</v>
      </c>
      <c r="F223" t="s">
        <v>267</v>
      </c>
      <c r="G223" t="s">
        <v>268</v>
      </c>
      <c r="H223" t="s">
        <v>149</v>
      </c>
      <c r="I223">
        <f>ROUND(11/100,9)</f>
        <v>0.11</v>
      </c>
      <c r="J223">
        <v>0</v>
      </c>
      <c r="K223">
        <f>ROUND(11/100,9)</f>
        <v>0.11</v>
      </c>
      <c r="O223">
        <f t="shared" si="195"/>
        <v>11075.99</v>
      </c>
      <c r="P223">
        <f t="shared" si="196"/>
        <v>3.45</v>
      </c>
      <c r="Q223">
        <f t="shared" si="197"/>
        <v>1967.41</v>
      </c>
      <c r="R223">
        <f t="shared" si="198"/>
        <v>1067.1400000000001</v>
      </c>
      <c r="S223">
        <f t="shared" si="199"/>
        <v>9105.1299999999992</v>
      </c>
      <c r="T223">
        <f t="shared" si="200"/>
        <v>0</v>
      </c>
      <c r="U223">
        <f t="shared" si="201"/>
        <v>19.8</v>
      </c>
      <c r="V223">
        <f t="shared" si="202"/>
        <v>0</v>
      </c>
      <c r="W223">
        <f t="shared" si="203"/>
        <v>0</v>
      </c>
      <c r="X223">
        <f t="shared" si="204"/>
        <v>6373.59</v>
      </c>
      <c r="Y223">
        <f t="shared" si="205"/>
        <v>910.51</v>
      </c>
      <c r="AA223">
        <v>1407491423</v>
      </c>
      <c r="AB223">
        <f t="shared" si="206"/>
        <v>100690.76</v>
      </c>
      <c r="AC223">
        <f>ROUND(((ES223*4)),6)</f>
        <v>31.32</v>
      </c>
      <c r="AD223">
        <f>ROUND(((((ET223*4))-((EU223*4)))+AE223),6)</f>
        <v>17885.52</v>
      </c>
      <c r="AE223">
        <f t="shared" ref="AE223:AF225" si="230">ROUND(((EU223*4)),6)</f>
        <v>9701.2800000000007</v>
      </c>
      <c r="AF223">
        <f t="shared" si="230"/>
        <v>82773.919999999998</v>
      </c>
      <c r="AG223">
        <f t="shared" si="207"/>
        <v>0</v>
      </c>
      <c r="AH223">
        <f t="shared" ref="AH223:AI225" si="231">((EW223*4))</f>
        <v>180</v>
      </c>
      <c r="AI223">
        <f t="shared" si="231"/>
        <v>0</v>
      </c>
      <c r="AJ223">
        <f t="shared" si="208"/>
        <v>0</v>
      </c>
      <c r="AK223">
        <v>25172.69</v>
      </c>
      <c r="AL223">
        <v>7.83</v>
      </c>
      <c r="AM223">
        <v>4471.38</v>
      </c>
      <c r="AN223">
        <v>2425.3200000000002</v>
      </c>
      <c r="AO223">
        <v>20693.48</v>
      </c>
      <c r="AP223">
        <v>0</v>
      </c>
      <c r="AQ223">
        <v>45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269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209"/>
        <v>11075.99</v>
      </c>
      <c r="CQ223">
        <f t="shared" si="210"/>
        <v>31.32</v>
      </c>
      <c r="CR223">
        <f>(((((ET223*4))*BB223-((EU223*4))*BS223)+AE223*BS223)*AV223)</f>
        <v>17885.52</v>
      </c>
      <c r="CS223">
        <f t="shared" si="211"/>
        <v>9701.2800000000007</v>
      </c>
      <c r="CT223">
        <f t="shared" si="212"/>
        <v>82773.919999999998</v>
      </c>
      <c r="CU223">
        <f t="shared" si="213"/>
        <v>0</v>
      </c>
      <c r="CV223">
        <f t="shared" si="214"/>
        <v>180</v>
      </c>
      <c r="CW223">
        <f t="shared" si="215"/>
        <v>0</v>
      </c>
      <c r="CX223">
        <f t="shared" si="216"/>
        <v>0</v>
      </c>
      <c r="CY223">
        <f t="shared" si="217"/>
        <v>6373.5909999999994</v>
      </c>
      <c r="CZ223">
        <f t="shared" si="218"/>
        <v>910.51299999999992</v>
      </c>
      <c r="DC223" t="s">
        <v>3</v>
      </c>
      <c r="DD223" t="s">
        <v>20</v>
      </c>
      <c r="DE223" t="s">
        <v>20</v>
      </c>
      <c r="DF223" t="s">
        <v>20</v>
      </c>
      <c r="DG223" t="s">
        <v>20</v>
      </c>
      <c r="DH223" t="s">
        <v>3</v>
      </c>
      <c r="DI223" t="s">
        <v>20</v>
      </c>
      <c r="DJ223" t="s">
        <v>20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149</v>
      </c>
      <c r="DW223" t="s">
        <v>149</v>
      </c>
      <c r="DX223">
        <v>100</v>
      </c>
      <c r="DZ223" t="s">
        <v>3</v>
      </c>
      <c r="EA223" t="s">
        <v>3</v>
      </c>
      <c r="EB223" t="s">
        <v>3</v>
      </c>
      <c r="EC223" t="s">
        <v>3</v>
      </c>
      <c r="EE223">
        <v>1364533919</v>
      </c>
      <c r="EF223">
        <v>1</v>
      </c>
      <c r="EG223" t="s">
        <v>21</v>
      </c>
      <c r="EH223">
        <v>0</v>
      </c>
      <c r="EI223" t="s">
        <v>3</v>
      </c>
      <c r="EJ223">
        <v>4</v>
      </c>
      <c r="EK223">
        <v>0</v>
      </c>
      <c r="EL223" t="s">
        <v>22</v>
      </c>
      <c r="EM223" t="s">
        <v>23</v>
      </c>
      <c r="EO223" t="s">
        <v>3</v>
      </c>
      <c r="EQ223">
        <v>0</v>
      </c>
      <c r="ER223">
        <v>25172.69</v>
      </c>
      <c r="ES223">
        <v>7.83</v>
      </c>
      <c r="ET223">
        <v>4471.38</v>
      </c>
      <c r="EU223">
        <v>2425.3200000000002</v>
      </c>
      <c r="EV223">
        <v>20693.48</v>
      </c>
      <c r="EW223">
        <v>45</v>
      </c>
      <c r="EX223">
        <v>0</v>
      </c>
      <c r="EY223">
        <v>0</v>
      </c>
      <c r="FQ223">
        <v>0</v>
      </c>
      <c r="FR223">
        <f t="shared" si="219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117022430</v>
      </c>
      <c r="GG223">
        <v>2</v>
      </c>
      <c r="GH223">
        <v>1</v>
      </c>
      <c r="GI223">
        <v>-2</v>
      </c>
      <c r="GJ223">
        <v>0</v>
      </c>
      <c r="GK223">
        <f>ROUND(R223*(R12)/100,2)</f>
        <v>1152.51</v>
      </c>
      <c r="GL223">
        <f t="shared" si="220"/>
        <v>0</v>
      </c>
      <c r="GM223">
        <f t="shared" si="221"/>
        <v>19512.599999999999</v>
      </c>
      <c r="GN223">
        <f t="shared" si="222"/>
        <v>0</v>
      </c>
      <c r="GO223">
        <f t="shared" si="223"/>
        <v>0</v>
      </c>
      <c r="GP223">
        <f t="shared" si="224"/>
        <v>19512.599999999999</v>
      </c>
      <c r="GR223">
        <v>0</v>
      </c>
      <c r="GS223">
        <v>3</v>
      </c>
      <c r="GT223">
        <v>0</v>
      </c>
      <c r="GU223" t="s">
        <v>3</v>
      </c>
      <c r="GV223">
        <f t="shared" si="225"/>
        <v>0</v>
      </c>
      <c r="GW223">
        <v>1</v>
      </c>
      <c r="GX223">
        <f t="shared" si="226"/>
        <v>0</v>
      </c>
      <c r="HA223">
        <v>0</v>
      </c>
      <c r="HB223">
        <v>0</v>
      </c>
      <c r="HC223">
        <f t="shared" si="227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ROW(EtalonRes!A124)</f>
        <v>124</v>
      </c>
      <c r="E224" t="s">
        <v>270</v>
      </c>
      <c r="F224" t="s">
        <v>271</v>
      </c>
      <c r="G224" t="s">
        <v>272</v>
      </c>
      <c r="H224" t="s">
        <v>149</v>
      </c>
      <c r="I224">
        <f>ROUND(1/100,9)</f>
        <v>0.01</v>
      </c>
      <c r="J224">
        <v>0</v>
      </c>
      <c r="K224">
        <f>ROUND(1/100,9)</f>
        <v>0.01</v>
      </c>
      <c r="O224">
        <f t="shared" si="195"/>
        <v>763.25</v>
      </c>
      <c r="P224">
        <f t="shared" si="196"/>
        <v>0.21</v>
      </c>
      <c r="Q224">
        <f t="shared" si="197"/>
        <v>119.24</v>
      </c>
      <c r="R224">
        <f t="shared" si="198"/>
        <v>64.680000000000007</v>
      </c>
      <c r="S224">
        <f t="shared" si="199"/>
        <v>643.79999999999995</v>
      </c>
      <c r="T224">
        <f t="shared" si="200"/>
        <v>0</v>
      </c>
      <c r="U224">
        <f t="shared" si="201"/>
        <v>1.4000000000000001</v>
      </c>
      <c r="V224">
        <f t="shared" si="202"/>
        <v>0</v>
      </c>
      <c r="W224">
        <f t="shared" si="203"/>
        <v>0</v>
      </c>
      <c r="X224">
        <f t="shared" si="204"/>
        <v>450.66</v>
      </c>
      <c r="Y224">
        <f t="shared" si="205"/>
        <v>64.38</v>
      </c>
      <c r="AA224">
        <v>1407491423</v>
      </c>
      <c r="AB224">
        <f t="shared" si="206"/>
        <v>76324.28</v>
      </c>
      <c r="AC224">
        <f>ROUND(((ES224*4)),6)</f>
        <v>20.88</v>
      </c>
      <c r="AD224">
        <f>ROUND(((((ET224*4))-((EU224*4)))+AE224),6)</f>
        <v>11923.68</v>
      </c>
      <c r="AE224">
        <f t="shared" si="230"/>
        <v>6467.52</v>
      </c>
      <c r="AF224">
        <f t="shared" si="230"/>
        <v>64379.72</v>
      </c>
      <c r="AG224">
        <f t="shared" si="207"/>
        <v>0</v>
      </c>
      <c r="AH224">
        <f t="shared" si="231"/>
        <v>140</v>
      </c>
      <c r="AI224">
        <f t="shared" si="231"/>
        <v>0</v>
      </c>
      <c r="AJ224">
        <f t="shared" si="208"/>
        <v>0</v>
      </c>
      <c r="AK224">
        <v>19081.07</v>
      </c>
      <c r="AL224">
        <v>5.22</v>
      </c>
      <c r="AM224">
        <v>2980.92</v>
      </c>
      <c r="AN224">
        <v>1616.88</v>
      </c>
      <c r="AO224">
        <v>16094.93</v>
      </c>
      <c r="AP224">
        <v>0</v>
      </c>
      <c r="AQ224">
        <v>35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273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209"/>
        <v>763.25</v>
      </c>
      <c r="CQ224">
        <f t="shared" si="210"/>
        <v>20.88</v>
      </c>
      <c r="CR224">
        <f>(((((ET224*4))*BB224-((EU224*4))*BS224)+AE224*BS224)*AV224)</f>
        <v>11923.68</v>
      </c>
      <c r="CS224">
        <f t="shared" si="211"/>
        <v>6467.52</v>
      </c>
      <c r="CT224">
        <f t="shared" si="212"/>
        <v>64379.72</v>
      </c>
      <c r="CU224">
        <f t="shared" si="213"/>
        <v>0</v>
      </c>
      <c r="CV224">
        <f t="shared" si="214"/>
        <v>140</v>
      </c>
      <c r="CW224">
        <f t="shared" si="215"/>
        <v>0</v>
      </c>
      <c r="CX224">
        <f t="shared" si="216"/>
        <v>0</v>
      </c>
      <c r="CY224">
        <f t="shared" si="217"/>
        <v>450.66</v>
      </c>
      <c r="CZ224">
        <f t="shared" si="218"/>
        <v>64.38</v>
      </c>
      <c r="DC224" t="s">
        <v>3</v>
      </c>
      <c r="DD224" t="s">
        <v>20</v>
      </c>
      <c r="DE224" t="s">
        <v>20</v>
      </c>
      <c r="DF224" t="s">
        <v>20</v>
      </c>
      <c r="DG224" t="s">
        <v>20</v>
      </c>
      <c r="DH224" t="s">
        <v>3</v>
      </c>
      <c r="DI224" t="s">
        <v>20</v>
      </c>
      <c r="DJ224" t="s">
        <v>20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149</v>
      </c>
      <c r="DW224" t="s">
        <v>149</v>
      </c>
      <c r="DX224">
        <v>100</v>
      </c>
      <c r="DZ224" t="s">
        <v>3</v>
      </c>
      <c r="EA224" t="s">
        <v>3</v>
      </c>
      <c r="EB224" t="s">
        <v>3</v>
      </c>
      <c r="EC224" t="s">
        <v>3</v>
      </c>
      <c r="EE224">
        <v>1364533919</v>
      </c>
      <c r="EF224">
        <v>1</v>
      </c>
      <c r="EG224" t="s">
        <v>21</v>
      </c>
      <c r="EH224">
        <v>0</v>
      </c>
      <c r="EI224" t="s">
        <v>3</v>
      </c>
      <c r="EJ224">
        <v>4</v>
      </c>
      <c r="EK224">
        <v>0</v>
      </c>
      <c r="EL224" t="s">
        <v>22</v>
      </c>
      <c r="EM224" t="s">
        <v>23</v>
      </c>
      <c r="EO224" t="s">
        <v>3</v>
      </c>
      <c r="EQ224">
        <v>0</v>
      </c>
      <c r="ER224">
        <v>19081.07</v>
      </c>
      <c r="ES224">
        <v>5.22</v>
      </c>
      <c r="ET224">
        <v>2980.92</v>
      </c>
      <c r="EU224">
        <v>1616.88</v>
      </c>
      <c r="EV224">
        <v>16094.93</v>
      </c>
      <c r="EW224">
        <v>35</v>
      </c>
      <c r="EX224">
        <v>0</v>
      </c>
      <c r="EY224">
        <v>0</v>
      </c>
      <c r="FQ224">
        <v>0</v>
      </c>
      <c r="FR224">
        <f t="shared" si="219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1673849509</v>
      </c>
      <c r="GG224">
        <v>2</v>
      </c>
      <c r="GH224">
        <v>1</v>
      </c>
      <c r="GI224">
        <v>-2</v>
      </c>
      <c r="GJ224">
        <v>0</v>
      </c>
      <c r="GK224">
        <f>ROUND(R224*(R12)/100,2)</f>
        <v>69.849999999999994</v>
      </c>
      <c r="GL224">
        <f t="shared" si="220"/>
        <v>0</v>
      </c>
      <c r="GM224">
        <f t="shared" si="221"/>
        <v>1348.14</v>
      </c>
      <c r="GN224">
        <f t="shared" si="222"/>
        <v>0</v>
      </c>
      <c r="GO224">
        <f t="shared" si="223"/>
        <v>0</v>
      </c>
      <c r="GP224">
        <f t="shared" si="224"/>
        <v>1348.14</v>
      </c>
      <c r="GR224">
        <v>0</v>
      </c>
      <c r="GS224">
        <v>3</v>
      </c>
      <c r="GT224">
        <v>0</v>
      </c>
      <c r="GU224" t="s">
        <v>3</v>
      </c>
      <c r="GV224">
        <f t="shared" si="225"/>
        <v>0</v>
      </c>
      <c r="GW224">
        <v>1</v>
      </c>
      <c r="GX224">
        <f t="shared" si="226"/>
        <v>0</v>
      </c>
      <c r="HA224">
        <v>0</v>
      </c>
      <c r="HB224">
        <v>0</v>
      </c>
      <c r="HC224">
        <f t="shared" si="227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D225">
        <f>ROW(EtalonRes!A125)</f>
        <v>125</v>
      </c>
      <c r="E225" t="s">
        <v>274</v>
      </c>
      <c r="F225" t="s">
        <v>275</v>
      </c>
      <c r="G225" t="s">
        <v>276</v>
      </c>
      <c r="H225" t="s">
        <v>37</v>
      </c>
      <c r="I225">
        <f>ROUND(3/10,9)</f>
        <v>0.3</v>
      </c>
      <c r="J225">
        <v>0</v>
      </c>
      <c r="K225">
        <f>ROUND(3/10,9)</f>
        <v>0.3</v>
      </c>
      <c r="O225">
        <f t="shared" si="195"/>
        <v>197.33</v>
      </c>
      <c r="P225">
        <f t="shared" si="196"/>
        <v>0</v>
      </c>
      <c r="Q225">
        <f t="shared" si="197"/>
        <v>0</v>
      </c>
      <c r="R225">
        <f t="shared" si="198"/>
        <v>0</v>
      </c>
      <c r="S225">
        <f t="shared" si="199"/>
        <v>197.33</v>
      </c>
      <c r="T225">
        <f t="shared" si="200"/>
        <v>0</v>
      </c>
      <c r="U225">
        <f t="shared" si="201"/>
        <v>0.372</v>
      </c>
      <c r="V225">
        <f t="shared" si="202"/>
        <v>0</v>
      </c>
      <c r="W225">
        <f t="shared" si="203"/>
        <v>0</v>
      </c>
      <c r="X225">
        <f t="shared" si="204"/>
        <v>138.13</v>
      </c>
      <c r="Y225">
        <f t="shared" si="205"/>
        <v>19.73</v>
      </c>
      <c r="AA225">
        <v>1407491423</v>
      </c>
      <c r="AB225">
        <f t="shared" si="206"/>
        <v>657.76</v>
      </c>
      <c r="AC225">
        <f>ROUND(((ES225*4)),6)</f>
        <v>0</v>
      </c>
      <c r="AD225">
        <f>ROUND(((((ET225*4))-((EU225*4)))+AE225),6)</f>
        <v>0</v>
      </c>
      <c r="AE225">
        <f t="shared" si="230"/>
        <v>0</v>
      </c>
      <c r="AF225">
        <f t="shared" si="230"/>
        <v>657.76</v>
      </c>
      <c r="AG225">
        <f t="shared" si="207"/>
        <v>0</v>
      </c>
      <c r="AH225">
        <f t="shared" si="231"/>
        <v>1.24</v>
      </c>
      <c r="AI225">
        <f t="shared" si="231"/>
        <v>0</v>
      </c>
      <c r="AJ225">
        <f t="shared" si="208"/>
        <v>0</v>
      </c>
      <c r="AK225">
        <v>164.44</v>
      </c>
      <c r="AL225">
        <v>0</v>
      </c>
      <c r="AM225">
        <v>0</v>
      </c>
      <c r="AN225">
        <v>0</v>
      </c>
      <c r="AO225">
        <v>164.44</v>
      </c>
      <c r="AP225">
        <v>0</v>
      </c>
      <c r="AQ225">
        <v>0.31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277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209"/>
        <v>197.33</v>
      </c>
      <c r="CQ225">
        <f t="shared" si="210"/>
        <v>0</v>
      </c>
      <c r="CR225">
        <f>(((((ET225*4))*BB225-((EU225*4))*BS225)+AE225*BS225)*AV225)</f>
        <v>0</v>
      </c>
      <c r="CS225">
        <f t="shared" si="211"/>
        <v>0</v>
      </c>
      <c r="CT225">
        <f t="shared" si="212"/>
        <v>657.76</v>
      </c>
      <c r="CU225">
        <f t="shared" si="213"/>
        <v>0</v>
      </c>
      <c r="CV225">
        <f t="shared" si="214"/>
        <v>1.24</v>
      </c>
      <c r="CW225">
        <f t="shared" si="215"/>
        <v>0</v>
      </c>
      <c r="CX225">
        <f t="shared" si="216"/>
        <v>0</v>
      </c>
      <c r="CY225">
        <f t="shared" si="217"/>
        <v>138.131</v>
      </c>
      <c r="CZ225">
        <f t="shared" si="218"/>
        <v>19.733000000000001</v>
      </c>
      <c r="DC225" t="s">
        <v>3</v>
      </c>
      <c r="DD225" t="s">
        <v>20</v>
      </c>
      <c r="DE225" t="s">
        <v>20</v>
      </c>
      <c r="DF225" t="s">
        <v>20</v>
      </c>
      <c r="DG225" t="s">
        <v>20</v>
      </c>
      <c r="DH225" t="s">
        <v>3</v>
      </c>
      <c r="DI225" t="s">
        <v>20</v>
      </c>
      <c r="DJ225" t="s">
        <v>20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16987630</v>
      </c>
      <c r="DV225" t="s">
        <v>37</v>
      </c>
      <c r="DW225" t="s">
        <v>37</v>
      </c>
      <c r="DX225">
        <v>10</v>
      </c>
      <c r="DZ225" t="s">
        <v>3</v>
      </c>
      <c r="EA225" t="s">
        <v>3</v>
      </c>
      <c r="EB225" t="s">
        <v>3</v>
      </c>
      <c r="EC225" t="s">
        <v>3</v>
      </c>
      <c r="EE225">
        <v>1364533919</v>
      </c>
      <c r="EF225">
        <v>1</v>
      </c>
      <c r="EG225" t="s">
        <v>21</v>
      </c>
      <c r="EH225">
        <v>0</v>
      </c>
      <c r="EI225" t="s">
        <v>3</v>
      </c>
      <c r="EJ225">
        <v>4</v>
      </c>
      <c r="EK225">
        <v>0</v>
      </c>
      <c r="EL225" t="s">
        <v>22</v>
      </c>
      <c r="EM225" t="s">
        <v>23</v>
      </c>
      <c r="EO225" t="s">
        <v>3</v>
      </c>
      <c r="EQ225">
        <v>0</v>
      </c>
      <c r="ER225">
        <v>164.44</v>
      </c>
      <c r="ES225">
        <v>0</v>
      </c>
      <c r="ET225">
        <v>0</v>
      </c>
      <c r="EU225">
        <v>0</v>
      </c>
      <c r="EV225">
        <v>164.44</v>
      </c>
      <c r="EW225">
        <v>0.31</v>
      </c>
      <c r="EX225">
        <v>0</v>
      </c>
      <c r="EY225">
        <v>0</v>
      </c>
      <c r="FQ225">
        <v>0</v>
      </c>
      <c r="FR225">
        <f t="shared" si="219"/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-642010466</v>
      </c>
      <c r="GG225">
        <v>2</v>
      </c>
      <c r="GH225">
        <v>1</v>
      </c>
      <c r="GI225">
        <v>-2</v>
      </c>
      <c r="GJ225">
        <v>0</v>
      </c>
      <c r="GK225">
        <f>ROUND(R225*(R12)/100,2)</f>
        <v>0</v>
      </c>
      <c r="GL225">
        <f t="shared" si="220"/>
        <v>0</v>
      </c>
      <c r="GM225">
        <f t="shared" si="221"/>
        <v>355.19</v>
      </c>
      <c r="GN225">
        <f t="shared" si="222"/>
        <v>0</v>
      </c>
      <c r="GO225">
        <f t="shared" si="223"/>
        <v>0</v>
      </c>
      <c r="GP225">
        <f t="shared" si="224"/>
        <v>355.19</v>
      </c>
      <c r="GR225">
        <v>0</v>
      </c>
      <c r="GS225">
        <v>3</v>
      </c>
      <c r="GT225">
        <v>0</v>
      </c>
      <c r="GU225" t="s">
        <v>3</v>
      </c>
      <c r="GV225">
        <f t="shared" si="225"/>
        <v>0</v>
      </c>
      <c r="GW225">
        <v>1</v>
      </c>
      <c r="GX225">
        <f t="shared" si="226"/>
        <v>0</v>
      </c>
      <c r="HA225">
        <v>0</v>
      </c>
      <c r="HB225">
        <v>0</v>
      </c>
      <c r="HC225">
        <f t="shared" si="227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ROW(EtalonRes!A128)</f>
        <v>128</v>
      </c>
      <c r="E226" t="s">
        <v>278</v>
      </c>
      <c r="F226" t="s">
        <v>279</v>
      </c>
      <c r="G226" t="s">
        <v>280</v>
      </c>
      <c r="H226" t="s">
        <v>42</v>
      </c>
      <c r="I226">
        <v>3</v>
      </c>
      <c r="J226">
        <v>0</v>
      </c>
      <c r="K226">
        <v>3</v>
      </c>
      <c r="O226">
        <f t="shared" si="195"/>
        <v>572.13</v>
      </c>
      <c r="P226">
        <f t="shared" si="196"/>
        <v>5.25</v>
      </c>
      <c r="Q226">
        <f t="shared" si="197"/>
        <v>0</v>
      </c>
      <c r="R226">
        <f t="shared" si="198"/>
        <v>0</v>
      </c>
      <c r="S226">
        <f t="shared" si="199"/>
        <v>566.88</v>
      </c>
      <c r="T226">
        <f t="shared" si="200"/>
        <v>0</v>
      </c>
      <c r="U226">
        <f t="shared" si="201"/>
        <v>1.29</v>
      </c>
      <c r="V226">
        <f t="shared" si="202"/>
        <v>0</v>
      </c>
      <c r="W226">
        <f t="shared" si="203"/>
        <v>0</v>
      </c>
      <c r="X226">
        <f t="shared" si="204"/>
        <v>396.82</v>
      </c>
      <c r="Y226">
        <f t="shared" si="205"/>
        <v>56.69</v>
      </c>
      <c r="AA226">
        <v>1407491423</v>
      </c>
      <c r="AB226">
        <f t="shared" si="206"/>
        <v>190.71</v>
      </c>
      <c r="AC226">
        <f>ROUND((ES226),6)</f>
        <v>1.75</v>
      </c>
      <c r="AD226">
        <f>ROUND((((ET226)-(EU226))+AE226),6)</f>
        <v>0</v>
      </c>
      <c r="AE226">
        <f>ROUND((EU226),6)</f>
        <v>0</v>
      </c>
      <c r="AF226">
        <f>ROUND((EV226),6)</f>
        <v>188.96</v>
      </c>
      <c r="AG226">
        <f t="shared" si="207"/>
        <v>0</v>
      </c>
      <c r="AH226">
        <f>(EW226)</f>
        <v>0.43</v>
      </c>
      <c r="AI226">
        <f>(EX226)</f>
        <v>0</v>
      </c>
      <c r="AJ226">
        <f t="shared" si="208"/>
        <v>0</v>
      </c>
      <c r="AK226">
        <v>190.71</v>
      </c>
      <c r="AL226">
        <v>1.75</v>
      </c>
      <c r="AM226">
        <v>0</v>
      </c>
      <c r="AN226">
        <v>0</v>
      </c>
      <c r="AO226">
        <v>188.96</v>
      </c>
      <c r="AP226">
        <v>0</v>
      </c>
      <c r="AQ226">
        <v>0.43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281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209"/>
        <v>572.13</v>
      </c>
      <c r="CQ226">
        <f t="shared" si="210"/>
        <v>1.75</v>
      </c>
      <c r="CR226">
        <f>((((ET226)*BB226-(EU226)*BS226)+AE226*BS226)*AV226)</f>
        <v>0</v>
      </c>
      <c r="CS226">
        <f t="shared" si="211"/>
        <v>0</v>
      </c>
      <c r="CT226">
        <f t="shared" si="212"/>
        <v>188.96</v>
      </c>
      <c r="CU226">
        <f t="shared" si="213"/>
        <v>0</v>
      </c>
      <c r="CV226">
        <f t="shared" si="214"/>
        <v>0.43</v>
      </c>
      <c r="CW226">
        <f t="shared" si="215"/>
        <v>0</v>
      </c>
      <c r="CX226">
        <f t="shared" si="216"/>
        <v>0</v>
      </c>
      <c r="CY226">
        <f t="shared" si="217"/>
        <v>396.81599999999997</v>
      </c>
      <c r="CZ226">
        <f t="shared" si="218"/>
        <v>56.688000000000002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16987630</v>
      </c>
      <c r="DV226" t="s">
        <v>42</v>
      </c>
      <c r="DW226" t="s">
        <v>42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1364533919</v>
      </c>
      <c r="EF226">
        <v>1</v>
      </c>
      <c r="EG226" t="s">
        <v>21</v>
      </c>
      <c r="EH226">
        <v>0</v>
      </c>
      <c r="EI226" t="s">
        <v>3</v>
      </c>
      <c r="EJ226">
        <v>4</v>
      </c>
      <c r="EK226">
        <v>0</v>
      </c>
      <c r="EL226" t="s">
        <v>22</v>
      </c>
      <c r="EM226" t="s">
        <v>23</v>
      </c>
      <c r="EO226" t="s">
        <v>3</v>
      </c>
      <c r="EQ226">
        <v>0</v>
      </c>
      <c r="ER226">
        <v>190.71</v>
      </c>
      <c r="ES226">
        <v>1.75</v>
      </c>
      <c r="ET226">
        <v>0</v>
      </c>
      <c r="EU226">
        <v>0</v>
      </c>
      <c r="EV226">
        <v>188.96</v>
      </c>
      <c r="EW226">
        <v>0.43</v>
      </c>
      <c r="EX226">
        <v>0</v>
      </c>
      <c r="EY226">
        <v>0</v>
      </c>
      <c r="FQ226">
        <v>0</v>
      </c>
      <c r="FR226">
        <f t="shared" si="219"/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264286729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si="220"/>
        <v>0</v>
      </c>
      <c r="GM226">
        <f t="shared" si="221"/>
        <v>1025.6400000000001</v>
      </c>
      <c r="GN226">
        <f t="shared" si="222"/>
        <v>0</v>
      </c>
      <c r="GO226">
        <f t="shared" si="223"/>
        <v>0</v>
      </c>
      <c r="GP226">
        <f t="shared" si="224"/>
        <v>1025.6400000000001</v>
      </c>
      <c r="GR226">
        <v>0</v>
      </c>
      <c r="GS226">
        <v>3</v>
      </c>
      <c r="GT226">
        <v>0</v>
      </c>
      <c r="GU226" t="s">
        <v>3</v>
      </c>
      <c r="GV226">
        <f t="shared" si="225"/>
        <v>0</v>
      </c>
      <c r="GW226">
        <v>1</v>
      </c>
      <c r="GX226">
        <f t="shared" si="226"/>
        <v>0</v>
      </c>
      <c r="HA226">
        <v>0</v>
      </c>
      <c r="HB226">
        <v>0</v>
      </c>
      <c r="HC226">
        <f t="shared" si="227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D227">
        <f>ROW(EtalonRes!A131)</f>
        <v>131</v>
      </c>
      <c r="E227" t="s">
        <v>282</v>
      </c>
      <c r="F227" t="s">
        <v>211</v>
      </c>
      <c r="G227" t="s">
        <v>212</v>
      </c>
      <c r="H227" t="s">
        <v>149</v>
      </c>
      <c r="I227">
        <f>ROUND(340/100,9)</f>
        <v>3.4</v>
      </c>
      <c r="J227">
        <v>0</v>
      </c>
      <c r="K227">
        <f>ROUND(340/100,9)</f>
        <v>3.4</v>
      </c>
      <c r="O227">
        <f t="shared" si="195"/>
        <v>51723.93</v>
      </c>
      <c r="P227">
        <f t="shared" si="196"/>
        <v>10.61</v>
      </c>
      <c r="Q227">
        <f t="shared" si="197"/>
        <v>14189.15</v>
      </c>
      <c r="R227">
        <f t="shared" si="198"/>
        <v>7696.38</v>
      </c>
      <c r="S227">
        <f t="shared" si="199"/>
        <v>37524.17</v>
      </c>
      <c r="T227">
        <f t="shared" si="200"/>
        <v>0</v>
      </c>
      <c r="U227">
        <f t="shared" si="201"/>
        <v>81.599999999999994</v>
      </c>
      <c r="V227">
        <f t="shared" si="202"/>
        <v>0</v>
      </c>
      <c r="W227">
        <f t="shared" si="203"/>
        <v>0</v>
      </c>
      <c r="X227">
        <f t="shared" si="204"/>
        <v>26266.92</v>
      </c>
      <c r="Y227">
        <f t="shared" si="205"/>
        <v>3752.42</v>
      </c>
      <c r="AA227">
        <v>1407491423</v>
      </c>
      <c r="AB227">
        <f t="shared" si="206"/>
        <v>15212.92</v>
      </c>
      <c r="AC227">
        <f>ROUND(((ES227*4)),6)</f>
        <v>3.12</v>
      </c>
      <c r="AD227">
        <f>ROUND(((((ET227*4))-((EU227*4)))+AE227),6)</f>
        <v>4173.28</v>
      </c>
      <c r="AE227">
        <f>ROUND(((EU227*4)),6)</f>
        <v>2263.64</v>
      </c>
      <c r="AF227">
        <f>ROUND(((EV227*4)),6)</f>
        <v>11036.52</v>
      </c>
      <c r="AG227">
        <f t="shared" si="207"/>
        <v>0</v>
      </c>
      <c r="AH227">
        <f>((EW227*4))</f>
        <v>24</v>
      </c>
      <c r="AI227">
        <f>((EX227*4))</f>
        <v>0</v>
      </c>
      <c r="AJ227">
        <f t="shared" si="208"/>
        <v>0</v>
      </c>
      <c r="AK227">
        <v>3803.23</v>
      </c>
      <c r="AL227">
        <v>0.78</v>
      </c>
      <c r="AM227">
        <v>1043.32</v>
      </c>
      <c r="AN227">
        <v>565.91</v>
      </c>
      <c r="AO227">
        <v>2759.13</v>
      </c>
      <c r="AP227">
        <v>0</v>
      </c>
      <c r="AQ227">
        <v>6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213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209"/>
        <v>51723.93</v>
      </c>
      <c r="CQ227">
        <f t="shared" si="210"/>
        <v>3.12</v>
      </c>
      <c r="CR227">
        <f>(((((ET227*4))*BB227-((EU227*4))*BS227)+AE227*BS227)*AV227)</f>
        <v>4173.28</v>
      </c>
      <c r="CS227">
        <f t="shared" si="211"/>
        <v>2263.64</v>
      </c>
      <c r="CT227">
        <f t="shared" si="212"/>
        <v>11036.52</v>
      </c>
      <c r="CU227">
        <f t="shared" si="213"/>
        <v>0</v>
      </c>
      <c r="CV227">
        <f t="shared" si="214"/>
        <v>24</v>
      </c>
      <c r="CW227">
        <f t="shared" si="215"/>
        <v>0</v>
      </c>
      <c r="CX227">
        <f t="shared" si="216"/>
        <v>0</v>
      </c>
      <c r="CY227">
        <f t="shared" si="217"/>
        <v>26266.918999999998</v>
      </c>
      <c r="CZ227">
        <f t="shared" si="218"/>
        <v>3752.4169999999995</v>
      </c>
      <c r="DC227" t="s">
        <v>3</v>
      </c>
      <c r="DD227" t="s">
        <v>20</v>
      </c>
      <c r="DE227" t="s">
        <v>20</v>
      </c>
      <c r="DF227" t="s">
        <v>20</v>
      </c>
      <c r="DG227" t="s">
        <v>20</v>
      </c>
      <c r="DH227" t="s">
        <v>3</v>
      </c>
      <c r="DI227" t="s">
        <v>20</v>
      </c>
      <c r="DJ227" t="s">
        <v>20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149</v>
      </c>
      <c r="DW227" t="s">
        <v>149</v>
      </c>
      <c r="DX227">
        <v>100</v>
      </c>
      <c r="DZ227" t="s">
        <v>3</v>
      </c>
      <c r="EA227" t="s">
        <v>3</v>
      </c>
      <c r="EB227" t="s">
        <v>3</v>
      </c>
      <c r="EC227" t="s">
        <v>3</v>
      </c>
      <c r="EE227">
        <v>1364533919</v>
      </c>
      <c r="EF227">
        <v>1</v>
      </c>
      <c r="EG227" t="s">
        <v>21</v>
      </c>
      <c r="EH227">
        <v>0</v>
      </c>
      <c r="EI227" t="s">
        <v>3</v>
      </c>
      <c r="EJ227">
        <v>4</v>
      </c>
      <c r="EK227">
        <v>0</v>
      </c>
      <c r="EL227" t="s">
        <v>22</v>
      </c>
      <c r="EM227" t="s">
        <v>23</v>
      </c>
      <c r="EO227" t="s">
        <v>3</v>
      </c>
      <c r="EQ227">
        <v>0</v>
      </c>
      <c r="ER227">
        <v>3803.23</v>
      </c>
      <c r="ES227">
        <v>0.78</v>
      </c>
      <c r="ET227">
        <v>1043.32</v>
      </c>
      <c r="EU227">
        <v>565.91</v>
      </c>
      <c r="EV227">
        <v>2759.13</v>
      </c>
      <c r="EW227">
        <v>6</v>
      </c>
      <c r="EX227">
        <v>0</v>
      </c>
      <c r="EY227">
        <v>0</v>
      </c>
      <c r="FQ227">
        <v>0</v>
      </c>
      <c r="FR227">
        <f t="shared" si="219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1387689086</v>
      </c>
      <c r="GG227">
        <v>2</v>
      </c>
      <c r="GH227">
        <v>1</v>
      </c>
      <c r="GI227">
        <v>-2</v>
      </c>
      <c r="GJ227">
        <v>0</v>
      </c>
      <c r="GK227">
        <f>ROUND(R227*(R12)/100,2)</f>
        <v>8312.09</v>
      </c>
      <c r="GL227">
        <f t="shared" si="220"/>
        <v>0</v>
      </c>
      <c r="GM227">
        <f t="shared" si="221"/>
        <v>90055.360000000001</v>
      </c>
      <c r="GN227">
        <f t="shared" si="222"/>
        <v>0</v>
      </c>
      <c r="GO227">
        <f t="shared" si="223"/>
        <v>0</v>
      </c>
      <c r="GP227">
        <f t="shared" si="224"/>
        <v>90055.360000000001</v>
      </c>
      <c r="GR227">
        <v>0</v>
      </c>
      <c r="GS227">
        <v>3</v>
      </c>
      <c r="GT227">
        <v>0</v>
      </c>
      <c r="GU227" t="s">
        <v>3</v>
      </c>
      <c r="GV227">
        <f t="shared" si="225"/>
        <v>0</v>
      </c>
      <c r="GW227">
        <v>1</v>
      </c>
      <c r="GX227">
        <f t="shared" si="226"/>
        <v>0</v>
      </c>
      <c r="HA227">
        <v>0</v>
      </c>
      <c r="HB227">
        <v>0</v>
      </c>
      <c r="HC227">
        <f t="shared" si="227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D228">
        <f>ROW(EtalonRes!A133)</f>
        <v>133</v>
      </c>
      <c r="E228" t="s">
        <v>283</v>
      </c>
      <c r="F228" t="s">
        <v>215</v>
      </c>
      <c r="G228" t="s">
        <v>284</v>
      </c>
      <c r="H228" t="s">
        <v>18</v>
      </c>
      <c r="I228">
        <f>ROUND(4230*0.1/100,9)</f>
        <v>4.2300000000000004</v>
      </c>
      <c r="J228">
        <v>0</v>
      </c>
      <c r="K228">
        <f>ROUND(4230*0.1/100,9)</f>
        <v>4.2300000000000004</v>
      </c>
      <c r="O228">
        <f t="shared" si="195"/>
        <v>19540.95</v>
      </c>
      <c r="P228">
        <f t="shared" si="196"/>
        <v>89.08</v>
      </c>
      <c r="Q228">
        <f t="shared" si="197"/>
        <v>0</v>
      </c>
      <c r="R228">
        <f t="shared" si="198"/>
        <v>0</v>
      </c>
      <c r="S228">
        <f t="shared" si="199"/>
        <v>19451.87</v>
      </c>
      <c r="T228">
        <f t="shared" si="200"/>
        <v>0</v>
      </c>
      <c r="U228">
        <f t="shared" si="201"/>
        <v>42.300000000000004</v>
      </c>
      <c r="V228">
        <f t="shared" si="202"/>
        <v>0</v>
      </c>
      <c r="W228">
        <f t="shared" si="203"/>
        <v>0</v>
      </c>
      <c r="X228">
        <f t="shared" si="204"/>
        <v>13616.31</v>
      </c>
      <c r="Y228">
        <f t="shared" si="205"/>
        <v>1945.19</v>
      </c>
      <c r="AA228">
        <v>1407491423</v>
      </c>
      <c r="AB228">
        <f t="shared" si="206"/>
        <v>4619.6099999999997</v>
      </c>
      <c r="AC228">
        <f>ROUND((ES228),6)</f>
        <v>21.06</v>
      </c>
      <c r="AD228">
        <f>ROUND((((ET228)-(EU228))+AE228),6)</f>
        <v>0</v>
      </c>
      <c r="AE228">
        <f>ROUND((EU228),6)</f>
        <v>0</v>
      </c>
      <c r="AF228">
        <f>ROUND((EV228),6)</f>
        <v>4598.55</v>
      </c>
      <c r="AG228">
        <f t="shared" si="207"/>
        <v>0</v>
      </c>
      <c r="AH228">
        <f>(EW228)</f>
        <v>10</v>
      </c>
      <c r="AI228">
        <f>(EX228)</f>
        <v>0</v>
      </c>
      <c r="AJ228">
        <f t="shared" si="208"/>
        <v>0</v>
      </c>
      <c r="AK228">
        <v>4619.6099999999997</v>
      </c>
      <c r="AL228">
        <v>21.06</v>
      </c>
      <c r="AM228">
        <v>0</v>
      </c>
      <c r="AN228">
        <v>0</v>
      </c>
      <c r="AO228">
        <v>4598.55</v>
      </c>
      <c r="AP228">
        <v>0</v>
      </c>
      <c r="AQ228">
        <v>10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217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209"/>
        <v>19540.95</v>
      </c>
      <c r="CQ228">
        <f t="shared" si="210"/>
        <v>21.06</v>
      </c>
      <c r="CR228">
        <f>((((ET228)*BB228-(EU228)*BS228)+AE228*BS228)*AV228)</f>
        <v>0</v>
      </c>
      <c r="CS228">
        <f t="shared" si="211"/>
        <v>0</v>
      </c>
      <c r="CT228">
        <f t="shared" si="212"/>
        <v>4598.55</v>
      </c>
      <c r="CU228">
        <f t="shared" si="213"/>
        <v>0</v>
      </c>
      <c r="CV228">
        <f t="shared" si="214"/>
        <v>10</v>
      </c>
      <c r="CW228">
        <f t="shared" si="215"/>
        <v>0</v>
      </c>
      <c r="CX228">
        <f t="shared" si="216"/>
        <v>0</v>
      </c>
      <c r="CY228">
        <f t="shared" si="217"/>
        <v>13616.308999999999</v>
      </c>
      <c r="CZ228">
        <f t="shared" si="218"/>
        <v>1945.1869999999999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1003</v>
      </c>
      <c r="DV228" t="s">
        <v>18</v>
      </c>
      <c r="DW228" t="s">
        <v>18</v>
      </c>
      <c r="DX228">
        <v>100</v>
      </c>
      <c r="DZ228" t="s">
        <v>3</v>
      </c>
      <c r="EA228" t="s">
        <v>3</v>
      </c>
      <c r="EB228" t="s">
        <v>3</v>
      </c>
      <c r="EC228" t="s">
        <v>3</v>
      </c>
      <c r="EE228">
        <v>1364533919</v>
      </c>
      <c r="EF228">
        <v>1</v>
      </c>
      <c r="EG228" t="s">
        <v>21</v>
      </c>
      <c r="EH228">
        <v>0</v>
      </c>
      <c r="EI228" t="s">
        <v>3</v>
      </c>
      <c r="EJ228">
        <v>4</v>
      </c>
      <c r="EK228">
        <v>0</v>
      </c>
      <c r="EL228" t="s">
        <v>22</v>
      </c>
      <c r="EM228" t="s">
        <v>23</v>
      </c>
      <c r="EO228" t="s">
        <v>3</v>
      </c>
      <c r="EQ228">
        <v>0</v>
      </c>
      <c r="ER228">
        <v>4619.6099999999997</v>
      </c>
      <c r="ES228">
        <v>21.06</v>
      </c>
      <c r="ET228">
        <v>0</v>
      </c>
      <c r="EU228">
        <v>0</v>
      </c>
      <c r="EV228">
        <v>4598.55</v>
      </c>
      <c r="EW228">
        <v>10</v>
      </c>
      <c r="EX228">
        <v>0</v>
      </c>
      <c r="EY228">
        <v>0</v>
      </c>
      <c r="FQ228">
        <v>0</v>
      </c>
      <c r="FR228">
        <f t="shared" si="219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-1705555070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</v>
      </c>
      <c r="GL228">
        <f t="shared" si="220"/>
        <v>0</v>
      </c>
      <c r="GM228">
        <f t="shared" si="221"/>
        <v>35102.449999999997</v>
      </c>
      <c r="GN228">
        <f t="shared" si="222"/>
        <v>0</v>
      </c>
      <c r="GO228">
        <f t="shared" si="223"/>
        <v>0</v>
      </c>
      <c r="GP228">
        <f t="shared" si="224"/>
        <v>35102.449999999997</v>
      </c>
      <c r="GR228">
        <v>0</v>
      </c>
      <c r="GS228">
        <v>3</v>
      </c>
      <c r="GT228">
        <v>0</v>
      </c>
      <c r="GU228" t="s">
        <v>3</v>
      </c>
      <c r="GV228">
        <f t="shared" si="225"/>
        <v>0</v>
      </c>
      <c r="GW228">
        <v>1</v>
      </c>
      <c r="GX228">
        <f t="shared" si="226"/>
        <v>0</v>
      </c>
      <c r="HA228">
        <v>0</v>
      </c>
      <c r="HB228">
        <v>0</v>
      </c>
      <c r="HC228">
        <f t="shared" si="227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ROW(EtalonRes!A134)</f>
        <v>134</v>
      </c>
      <c r="E229" t="s">
        <v>285</v>
      </c>
      <c r="F229" t="s">
        <v>219</v>
      </c>
      <c r="G229" t="s">
        <v>220</v>
      </c>
      <c r="H229" t="s">
        <v>18</v>
      </c>
      <c r="I229">
        <f>ROUND(8460*0.1/100,9)</f>
        <v>8.4600000000000009</v>
      </c>
      <c r="J229">
        <v>0</v>
      </c>
      <c r="K229">
        <f>ROUND(8460*0.1/100,9)</f>
        <v>8.4600000000000009</v>
      </c>
      <c r="O229">
        <f t="shared" si="195"/>
        <v>933.65</v>
      </c>
      <c r="P229">
        <f t="shared" si="196"/>
        <v>0</v>
      </c>
      <c r="Q229">
        <f t="shared" si="197"/>
        <v>0</v>
      </c>
      <c r="R229">
        <f t="shared" si="198"/>
        <v>0</v>
      </c>
      <c r="S229">
        <f t="shared" si="199"/>
        <v>933.65</v>
      </c>
      <c r="T229">
        <f t="shared" si="200"/>
        <v>0</v>
      </c>
      <c r="U229">
        <f t="shared" si="201"/>
        <v>2.0304000000000002</v>
      </c>
      <c r="V229">
        <f t="shared" si="202"/>
        <v>0</v>
      </c>
      <c r="W229">
        <f t="shared" si="203"/>
        <v>0</v>
      </c>
      <c r="X229">
        <f t="shared" si="204"/>
        <v>653.55999999999995</v>
      </c>
      <c r="Y229">
        <f t="shared" si="205"/>
        <v>93.37</v>
      </c>
      <c r="AA229">
        <v>1407491423</v>
      </c>
      <c r="AB229">
        <f t="shared" si="206"/>
        <v>110.36</v>
      </c>
      <c r="AC229">
        <f>ROUND((ES229),6)</f>
        <v>0</v>
      </c>
      <c r="AD229">
        <f>ROUND((((ET229)-(EU229))+AE229),6)</f>
        <v>0</v>
      </c>
      <c r="AE229">
        <f>ROUND((EU229),6)</f>
        <v>0</v>
      </c>
      <c r="AF229">
        <f>ROUND((EV229),6)</f>
        <v>110.36</v>
      </c>
      <c r="AG229">
        <f t="shared" si="207"/>
        <v>0</v>
      </c>
      <c r="AH229">
        <f>(EW229)</f>
        <v>0.24</v>
      </c>
      <c r="AI229">
        <f>(EX229)</f>
        <v>0</v>
      </c>
      <c r="AJ229">
        <f t="shared" si="208"/>
        <v>0</v>
      </c>
      <c r="AK229">
        <v>110.36</v>
      </c>
      <c r="AL229">
        <v>0</v>
      </c>
      <c r="AM229">
        <v>0</v>
      </c>
      <c r="AN229">
        <v>0</v>
      </c>
      <c r="AO229">
        <v>110.36</v>
      </c>
      <c r="AP229">
        <v>0</v>
      </c>
      <c r="AQ229">
        <v>0.24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221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209"/>
        <v>933.65</v>
      </c>
      <c r="CQ229">
        <f t="shared" si="210"/>
        <v>0</v>
      </c>
      <c r="CR229">
        <f>((((ET229)*BB229-(EU229)*BS229)+AE229*BS229)*AV229)</f>
        <v>0</v>
      </c>
      <c r="CS229">
        <f t="shared" si="211"/>
        <v>0</v>
      </c>
      <c r="CT229">
        <f t="shared" si="212"/>
        <v>110.36</v>
      </c>
      <c r="CU229">
        <f t="shared" si="213"/>
        <v>0</v>
      </c>
      <c r="CV229">
        <f t="shared" si="214"/>
        <v>0.24</v>
      </c>
      <c r="CW229">
        <f t="shared" si="215"/>
        <v>0</v>
      </c>
      <c r="CX229">
        <f t="shared" si="216"/>
        <v>0</v>
      </c>
      <c r="CY229">
        <f t="shared" si="217"/>
        <v>653.55499999999995</v>
      </c>
      <c r="CZ229">
        <f t="shared" si="218"/>
        <v>93.364999999999995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1003</v>
      </c>
      <c r="DV229" t="s">
        <v>18</v>
      </c>
      <c r="DW229" t="s">
        <v>18</v>
      </c>
      <c r="DX229">
        <v>100</v>
      </c>
      <c r="DZ229" t="s">
        <v>3</v>
      </c>
      <c r="EA229" t="s">
        <v>3</v>
      </c>
      <c r="EB229" t="s">
        <v>3</v>
      </c>
      <c r="EC229" t="s">
        <v>3</v>
      </c>
      <c r="EE229">
        <v>1364533919</v>
      </c>
      <c r="EF229">
        <v>1</v>
      </c>
      <c r="EG229" t="s">
        <v>21</v>
      </c>
      <c r="EH229">
        <v>0</v>
      </c>
      <c r="EI229" t="s">
        <v>3</v>
      </c>
      <c r="EJ229">
        <v>4</v>
      </c>
      <c r="EK229">
        <v>0</v>
      </c>
      <c r="EL229" t="s">
        <v>22</v>
      </c>
      <c r="EM229" t="s">
        <v>23</v>
      </c>
      <c r="EO229" t="s">
        <v>3</v>
      </c>
      <c r="EQ229">
        <v>0</v>
      </c>
      <c r="ER229">
        <v>110.36</v>
      </c>
      <c r="ES229">
        <v>0</v>
      </c>
      <c r="ET229">
        <v>0</v>
      </c>
      <c r="EU229">
        <v>0</v>
      </c>
      <c r="EV229">
        <v>110.36</v>
      </c>
      <c r="EW229">
        <v>0.24</v>
      </c>
      <c r="EX229">
        <v>0</v>
      </c>
      <c r="EY229">
        <v>0</v>
      </c>
      <c r="FQ229">
        <v>0</v>
      </c>
      <c r="FR229">
        <f t="shared" si="219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-1560634932</v>
      </c>
      <c r="GG229">
        <v>2</v>
      </c>
      <c r="GH229">
        <v>1</v>
      </c>
      <c r="GI229">
        <v>-2</v>
      </c>
      <c r="GJ229">
        <v>0</v>
      </c>
      <c r="GK229">
        <f>ROUND(R229*(R12)/100,2)</f>
        <v>0</v>
      </c>
      <c r="GL229">
        <f t="shared" si="220"/>
        <v>0</v>
      </c>
      <c r="GM229">
        <f t="shared" si="221"/>
        <v>1680.58</v>
      </c>
      <c r="GN229">
        <f t="shared" si="222"/>
        <v>0</v>
      </c>
      <c r="GO229">
        <f t="shared" si="223"/>
        <v>0</v>
      </c>
      <c r="GP229">
        <f t="shared" si="224"/>
        <v>1680.58</v>
      </c>
      <c r="GR229">
        <v>0</v>
      </c>
      <c r="GS229">
        <v>3</v>
      </c>
      <c r="GT229">
        <v>0</v>
      </c>
      <c r="GU229" t="s">
        <v>3</v>
      </c>
      <c r="GV229">
        <f t="shared" si="225"/>
        <v>0</v>
      </c>
      <c r="GW229">
        <v>1</v>
      </c>
      <c r="GX229">
        <f t="shared" si="226"/>
        <v>0</v>
      </c>
      <c r="HA229">
        <v>0</v>
      </c>
      <c r="HB229">
        <v>0</v>
      </c>
      <c r="HC229">
        <f t="shared" si="227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1" spans="1:245" x14ac:dyDescent="0.2">
      <c r="A231" s="2">
        <v>51</v>
      </c>
      <c r="B231" s="2">
        <f>B207</f>
        <v>1</v>
      </c>
      <c r="C231" s="2">
        <f>A207</f>
        <v>4</v>
      </c>
      <c r="D231" s="2">
        <f>ROW(A207)</f>
        <v>207</v>
      </c>
      <c r="E231" s="2"/>
      <c r="F231" s="2" t="str">
        <f>IF(F207&lt;&gt;"",F207,"")</f>
        <v>Новый раздел</v>
      </c>
      <c r="G231" s="2" t="str">
        <f>IF(G207&lt;&gt;"",G207,"")</f>
        <v>Электроснабжение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232">ROUND(AB231,2)</f>
        <v>303374.14</v>
      </c>
      <c r="P231" s="2">
        <f t="shared" si="232"/>
        <v>361.58</v>
      </c>
      <c r="Q231" s="2">
        <f t="shared" si="232"/>
        <v>17440.04</v>
      </c>
      <c r="R231" s="2">
        <f t="shared" si="232"/>
        <v>9458.7800000000007</v>
      </c>
      <c r="S231" s="2">
        <f t="shared" si="232"/>
        <v>285572.52</v>
      </c>
      <c r="T231" s="2">
        <f t="shared" si="232"/>
        <v>0</v>
      </c>
      <c r="U231" s="2">
        <f>AH231</f>
        <v>560.7124</v>
      </c>
      <c r="V231" s="2">
        <f>AI231</f>
        <v>0</v>
      </c>
      <c r="W231" s="2">
        <f>ROUND(AJ231,2)</f>
        <v>0</v>
      </c>
      <c r="X231" s="2">
        <f>ROUND(AK231,2)</f>
        <v>199900.77</v>
      </c>
      <c r="Y231" s="2">
        <f>ROUND(AL231,2)</f>
        <v>28557.26</v>
      </c>
      <c r="Z231" s="2"/>
      <c r="AA231" s="2"/>
      <c r="AB231" s="2">
        <f>ROUND(SUMIF(AA211:AA229,"=1407491423",O211:O229),2)</f>
        <v>303374.14</v>
      </c>
      <c r="AC231" s="2">
        <f>ROUND(SUMIF(AA211:AA229,"=1407491423",P211:P229),2)</f>
        <v>361.58</v>
      </c>
      <c r="AD231" s="2">
        <f>ROUND(SUMIF(AA211:AA229,"=1407491423",Q211:Q229),2)</f>
        <v>17440.04</v>
      </c>
      <c r="AE231" s="2">
        <f>ROUND(SUMIF(AA211:AA229,"=1407491423",R211:R229),2)</f>
        <v>9458.7800000000007</v>
      </c>
      <c r="AF231" s="2">
        <f>ROUND(SUMIF(AA211:AA229,"=1407491423",S211:S229),2)</f>
        <v>285572.52</v>
      </c>
      <c r="AG231" s="2">
        <f>ROUND(SUMIF(AA211:AA229,"=1407491423",T211:T229),2)</f>
        <v>0</v>
      </c>
      <c r="AH231" s="2">
        <f>SUMIF(AA211:AA229,"=1407491423",U211:U229)</f>
        <v>560.7124</v>
      </c>
      <c r="AI231" s="2">
        <f>SUMIF(AA211:AA229,"=1407491423",V211:V229)</f>
        <v>0</v>
      </c>
      <c r="AJ231" s="2">
        <f>ROUND(SUMIF(AA211:AA229,"=1407491423",W211:W229),2)</f>
        <v>0</v>
      </c>
      <c r="AK231" s="2">
        <f>ROUND(SUMIF(AA211:AA229,"=1407491423",X211:X229),2)</f>
        <v>199900.77</v>
      </c>
      <c r="AL231" s="2">
        <f>ROUND(SUMIF(AA211:AA229,"=1407491423",Y211:Y229),2)</f>
        <v>28557.26</v>
      </c>
      <c r="AM231" s="2"/>
      <c r="AN231" s="2"/>
      <c r="AO231" s="2">
        <f t="shared" ref="AO231:BD231" si="233">ROUND(BX231,2)</f>
        <v>0</v>
      </c>
      <c r="AP231" s="2">
        <f t="shared" si="233"/>
        <v>0</v>
      </c>
      <c r="AQ231" s="2">
        <f t="shared" si="233"/>
        <v>0</v>
      </c>
      <c r="AR231" s="2">
        <f t="shared" si="233"/>
        <v>542047.65</v>
      </c>
      <c r="AS231" s="2">
        <f t="shared" si="233"/>
        <v>0</v>
      </c>
      <c r="AT231" s="2">
        <f t="shared" si="233"/>
        <v>0</v>
      </c>
      <c r="AU231" s="2">
        <f t="shared" si="233"/>
        <v>542047.65</v>
      </c>
      <c r="AV231" s="2">
        <f t="shared" si="233"/>
        <v>361.58</v>
      </c>
      <c r="AW231" s="2">
        <f t="shared" si="233"/>
        <v>361.58</v>
      </c>
      <c r="AX231" s="2">
        <f t="shared" si="233"/>
        <v>0</v>
      </c>
      <c r="AY231" s="2">
        <f t="shared" si="233"/>
        <v>361.58</v>
      </c>
      <c r="AZ231" s="2">
        <f t="shared" si="233"/>
        <v>0</v>
      </c>
      <c r="BA231" s="2">
        <f t="shared" si="233"/>
        <v>0</v>
      </c>
      <c r="BB231" s="2">
        <f t="shared" si="233"/>
        <v>0</v>
      </c>
      <c r="BC231" s="2">
        <f t="shared" si="233"/>
        <v>0</v>
      </c>
      <c r="BD231" s="2">
        <f t="shared" si="233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>
        <f>ROUND(SUMIF(AA211:AA229,"=1407491423",FQ211:FQ229),2)</f>
        <v>0</v>
      </c>
      <c r="BY231" s="2">
        <f>ROUND(SUMIF(AA211:AA229,"=1407491423",FR211:FR229),2)</f>
        <v>0</v>
      </c>
      <c r="BZ231" s="2">
        <f>ROUND(SUMIF(AA211:AA229,"=1407491423",GL211:GL229),2)</f>
        <v>0</v>
      </c>
      <c r="CA231" s="2">
        <f>ROUND(SUMIF(AA211:AA229,"=1407491423",GM211:GM229),2)</f>
        <v>542047.65</v>
      </c>
      <c r="CB231" s="2">
        <f>ROUND(SUMIF(AA211:AA229,"=1407491423",GN211:GN229),2)</f>
        <v>0</v>
      </c>
      <c r="CC231" s="2">
        <f>ROUND(SUMIF(AA211:AA229,"=1407491423",GO211:GO229),2)</f>
        <v>0</v>
      </c>
      <c r="CD231" s="2">
        <f>ROUND(SUMIF(AA211:AA229,"=1407491423",GP211:GP229),2)</f>
        <v>542047.65</v>
      </c>
      <c r="CE231" s="2">
        <f>AC231-BX231</f>
        <v>361.58</v>
      </c>
      <c r="CF231" s="2">
        <f>AC231-BY231</f>
        <v>361.58</v>
      </c>
      <c r="CG231" s="2">
        <f>BX231-BZ231</f>
        <v>0</v>
      </c>
      <c r="CH231" s="2">
        <f>AC231-BX231-BY231+BZ231</f>
        <v>361.58</v>
      </c>
      <c r="CI231" s="2">
        <f>BY231-BZ231</f>
        <v>0</v>
      </c>
      <c r="CJ231" s="2">
        <f>ROUND(SUMIF(AA211:AA229,"=1407491423",GX211:GX229),2)</f>
        <v>0</v>
      </c>
      <c r="CK231" s="2">
        <f>ROUND(SUMIF(AA211:AA229,"=1407491423",GY211:GY229),2)</f>
        <v>0</v>
      </c>
      <c r="CL231" s="2">
        <f>ROUND(SUMIF(AA211:AA229,"=1407491423",GZ211:GZ229),2)</f>
        <v>0</v>
      </c>
      <c r="CM231" s="2">
        <f>ROUND(SUMIF(AA211:AA229,"=1407491423",HD211:HD229),2)</f>
        <v>0</v>
      </c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303374.14</v>
      </c>
      <c r="G233" s="4" t="s">
        <v>74</v>
      </c>
      <c r="H233" s="4" t="s">
        <v>75</v>
      </c>
      <c r="I233" s="4"/>
      <c r="J233" s="4"/>
      <c r="K233" s="4">
        <v>201</v>
      </c>
      <c r="L233" s="4">
        <v>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303374.14</v>
      </c>
      <c r="X233" s="4">
        <v>1</v>
      </c>
      <c r="Y233" s="4">
        <v>303374.14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361.58</v>
      </c>
      <c r="G234" s="4" t="s">
        <v>76</v>
      </c>
      <c r="H234" s="4" t="s">
        <v>77</v>
      </c>
      <c r="I234" s="4"/>
      <c r="J234" s="4"/>
      <c r="K234" s="4">
        <v>202</v>
      </c>
      <c r="L234" s="4">
        <v>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361.58</v>
      </c>
      <c r="X234" s="4">
        <v>1</v>
      </c>
      <c r="Y234" s="4">
        <v>361.58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78</v>
      </c>
      <c r="H235" s="4" t="s">
        <v>79</v>
      </c>
      <c r="I235" s="4"/>
      <c r="J235" s="4"/>
      <c r="K235" s="4">
        <v>222</v>
      </c>
      <c r="L235" s="4">
        <v>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361.58</v>
      </c>
      <c r="G236" s="4" t="s">
        <v>80</v>
      </c>
      <c r="H236" s="4" t="s">
        <v>81</v>
      </c>
      <c r="I236" s="4"/>
      <c r="J236" s="4"/>
      <c r="K236" s="4">
        <v>225</v>
      </c>
      <c r="L236" s="4">
        <v>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361.58</v>
      </c>
      <c r="X236" s="4">
        <v>1</v>
      </c>
      <c r="Y236" s="4">
        <v>361.58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361.58</v>
      </c>
      <c r="G237" s="4" t="s">
        <v>82</v>
      </c>
      <c r="H237" s="4" t="s">
        <v>83</v>
      </c>
      <c r="I237" s="4"/>
      <c r="J237" s="4"/>
      <c r="K237" s="4">
        <v>226</v>
      </c>
      <c r="L237" s="4">
        <v>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361.58</v>
      </c>
      <c r="X237" s="4">
        <v>1</v>
      </c>
      <c r="Y237" s="4">
        <v>361.58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84</v>
      </c>
      <c r="H238" s="4" t="s">
        <v>85</v>
      </c>
      <c r="I238" s="4"/>
      <c r="J238" s="4"/>
      <c r="K238" s="4">
        <v>227</v>
      </c>
      <c r="L238" s="4">
        <v>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361.58</v>
      </c>
      <c r="G239" s="4" t="s">
        <v>86</v>
      </c>
      <c r="H239" s="4" t="s">
        <v>87</v>
      </c>
      <c r="I239" s="4"/>
      <c r="J239" s="4"/>
      <c r="K239" s="4">
        <v>228</v>
      </c>
      <c r="L239" s="4">
        <v>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361.58</v>
      </c>
      <c r="X239" s="4">
        <v>1</v>
      </c>
      <c r="Y239" s="4">
        <v>361.58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88</v>
      </c>
      <c r="H240" s="4" t="s">
        <v>89</v>
      </c>
      <c r="I240" s="4"/>
      <c r="J240" s="4"/>
      <c r="K240" s="4">
        <v>216</v>
      </c>
      <c r="L240" s="4">
        <v>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90</v>
      </c>
      <c r="H241" s="4" t="s">
        <v>91</v>
      </c>
      <c r="I241" s="4"/>
      <c r="J241" s="4"/>
      <c r="K241" s="4">
        <v>223</v>
      </c>
      <c r="L241" s="4">
        <v>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92</v>
      </c>
      <c r="H242" s="4" t="s">
        <v>93</v>
      </c>
      <c r="I242" s="4"/>
      <c r="J242" s="4"/>
      <c r="K242" s="4">
        <v>229</v>
      </c>
      <c r="L242" s="4">
        <v>10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17440.04</v>
      </c>
      <c r="G243" s="4" t="s">
        <v>94</v>
      </c>
      <c r="H243" s="4" t="s">
        <v>95</v>
      </c>
      <c r="I243" s="4"/>
      <c r="J243" s="4"/>
      <c r="K243" s="4">
        <v>203</v>
      </c>
      <c r="L243" s="4">
        <v>11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17440.04</v>
      </c>
      <c r="X243" s="4">
        <v>1</v>
      </c>
      <c r="Y243" s="4">
        <v>17440.04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96</v>
      </c>
      <c r="H244" s="4" t="s">
        <v>97</v>
      </c>
      <c r="I244" s="4"/>
      <c r="J244" s="4"/>
      <c r="K244" s="4">
        <v>231</v>
      </c>
      <c r="L244" s="4">
        <v>12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9458.7800000000007</v>
      </c>
      <c r="G245" s="4" t="s">
        <v>98</v>
      </c>
      <c r="H245" s="4" t="s">
        <v>99</v>
      </c>
      <c r="I245" s="4"/>
      <c r="J245" s="4"/>
      <c r="K245" s="4">
        <v>204</v>
      </c>
      <c r="L245" s="4">
        <v>13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9458.7800000000007</v>
      </c>
      <c r="X245" s="4">
        <v>1</v>
      </c>
      <c r="Y245" s="4">
        <v>9458.7800000000007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285572.52</v>
      </c>
      <c r="G246" s="4" t="s">
        <v>100</v>
      </c>
      <c r="H246" s="4" t="s">
        <v>101</v>
      </c>
      <c r="I246" s="4"/>
      <c r="J246" s="4"/>
      <c r="K246" s="4">
        <v>205</v>
      </c>
      <c r="L246" s="4">
        <v>14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285572.52</v>
      </c>
      <c r="X246" s="4">
        <v>1</v>
      </c>
      <c r="Y246" s="4">
        <v>285572.52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102</v>
      </c>
      <c r="H247" s="4" t="s">
        <v>103</v>
      </c>
      <c r="I247" s="4"/>
      <c r="J247" s="4"/>
      <c r="K247" s="4">
        <v>232</v>
      </c>
      <c r="L247" s="4">
        <v>15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0</v>
      </c>
      <c r="G248" s="4" t="s">
        <v>104</v>
      </c>
      <c r="H248" s="4" t="s">
        <v>105</v>
      </c>
      <c r="I248" s="4"/>
      <c r="J248" s="4"/>
      <c r="K248" s="4">
        <v>214</v>
      </c>
      <c r="L248" s="4">
        <v>16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0</v>
      </c>
      <c r="G249" s="4" t="s">
        <v>106</v>
      </c>
      <c r="H249" s="4" t="s">
        <v>107</v>
      </c>
      <c r="I249" s="4"/>
      <c r="J249" s="4"/>
      <c r="K249" s="4">
        <v>215</v>
      </c>
      <c r="L249" s="4">
        <v>17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542047.65</v>
      </c>
      <c r="G250" s="4" t="s">
        <v>108</v>
      </c>
      <c r="H250" s="4" t="s">
        <v>109</v>
      </c>
      <c r="I250" s="4"/>
      <c r="J250" s="4"/>
      <c r="K250" s="4">
        <v>217</v>
      </c>
      <c r="L250" s="4">
        <v>18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542047.65</v>
      </c>
      <c r="X250" s="4">
        <v>1</v>
      </c>
      <c r="Y250" s="4">
        <v>542047.65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110</v>
      </c>
      <c r="H251" s="4" t="s">
        <v>111</v>
      </c>
      <c r="I251" s="4"/>
      <c r="J251" s="4"/>
      <c r="K251" s="4">
        <v>230</v>
      </c>
      <c r="L251" s="4">
        <v>19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112</v>
      </c>
      <c r="H252" s="4" t="s">
        <v>113</v>
      </c>
      <c r="I252" s="4"/>
      <c r="J252" s="4"/>
      <c r="K252" s="4">
        <v>206</v>
      </c>
      <c r="L252" s="4">
        <v>20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560.7124</v>
      </c>
      <c r="G253" s="4" t="s">
        <v>114</v>
      </c>
      <c r="H253" s="4" t="s">
        <v>115</v>
      </c>
      <c r="I253" s="4"/>
      <c r="J253" s="4"/>
      <c r="K253" s="4">
        <v>207</v>
      </c>
      <c r="L253" s="4">
        <v>21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560.71239999999989</v>
      </c>
      <c r="X253" s="4">
        <v>1</v>
      </c>
      <c r="Y253" s="4">
        <v>560.71239999999989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116</v>
      </c>
      <c r="H254" s="4" t="s">
        <v>117</v>
      </c>
      <c r="I254" s="4"/>
      <c r="J254" s="4"/>
      <c r="K254" s="4">
        <v>208</v>
      </c>
      <c r="L254" s="4">
        <v>22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118</v>
      </c>
      <c r="H255" s="4" t="s">
        <v>119</v>
      </c>
      <c r="I255" s="4"/>
      <c r="J255" s="4"/>
      <c r="K255" s="4">
        <v>209</v>
      </c>
      <c r="L255" s="4">
        <v>23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120</v>
      </c>
      <c r="H256" s="4" t="s">
        <v>121</v>
      </c>
      <c r="I256" s="4"/>
      <c r="J256" s="4"/>
      <c r="K256" s="4">
        <v>233</v>
      </c>
      <c r="L256" s="4">
        <v>24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199900.77</v>
      </c>
      <c r="G257" s="4" t="s">
        <v>122</v>
      </c>
      <c r="H257" s="4" t="s">
        <v>123</v>
      </c>
      <c r="I257" s="4"/>
      <c r="J257" s="4"/>
      <c r="K257" s="4">
        <v>210</v>
      </c>
      <c r="L257" s="4">
        <v>25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199900.77</v>
      </c>
      <c r="X257" s="4">
        <v>1</v>
      </c>
      <c r="Y257" s="4">
        <v>199900.77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28557.26</v>
      </c>
      <c r="G258" s="4" t="s">
        <v>124</v>
      </c>
      <c r="H258" s="4" t="s">
        <v>125</v>
      </c>
      <c r="I258" s="4"/>
      <c r="J258" s="4"/>
      <c r="K258" s="4">
        <v>211</v>
      </c>
      <c r="L258" s="4">
        <v>26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28557.26</v>
      </c>
      <c r="X258" s="4">
        <v>1</v>
      </c>
      <c r="Y258" s="4">
        <v>28557.26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542047.65</v>
      </c>
      <c r="G259" s="4" t="s">
        <v>126</v>
      </c>
      <c r="H259" s="4" t="s">
        <v>127</v>
      </c>
      <c r="I259" s="4"/>
      <c r="J259" s="4"/>
      <c r="K259" s="4">
        <v>224</v>
      </c>
      <c r="L259" s="4">
        <v>27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542047.65</v>
      </c>
      <c r="X259" s="4">
        <v>1</v>
      </c>
      <c r="Y259" s="4">
        <v>542047.65</v>
      </c>
      <c r="Z259" s="4"/>
      <c r="AA259" s="4"/>
      <c r="AB259" s="4"/>
    </row>
    <row r="261" spans="1:245" x14ac:dyDescent="0.2">
      <c r="A261" s="1">
        <v>4</v>
      </c>
      <c r="B261" s="1">
        <v>1</v>
      </c>
      <c r="C261" s="1"/>
      <c r="D261" s="1">
        <f>ROW(A273)</f>
        <v>273</v>
      </c>
      <c r="E261" s="1"/>
      <c r="F261" s="1" t="s">
        <v>13</v>
      </c>
      <c r="G261" s="1" t="s">
        <v>286</v>
      </c>
      <c r="H261" s="1" t="s">
        <v>3</v>
      </c>
      <c r="I261" s="1">
        <v>0</v>
      </c>
      <c r="J261" s="1"/>
      <c r="K261" s="1">
        <v>0</v>
      </c>
      <c r="L261" s="1"/>
      <c r="M261" s="1" t="s">
        <v>3</v>
      </c>
      <c r="N261" s="1"/>
      <c r="O261" s="1"/>
      <c r="P261" s="1"/>
      <c r="Q261" s="1"/>
      <c r="R261" s="1"/>
      <c r="S261" s="1">
        <v>0</v>
      </c>
      <c r="T261" s="1"/>
      <c r="U261" s="1" t="s">
        <v>3</v>
      </c>
      <c r="V261" s="1">
        <v>0</v>
      </c>
      <c r="W261" s="1"/>
      <c r="X261" s="1"/>
      <c r="Y261" s="1"/>
      <c r="Z261" s="1"/>
      <c r="AA261" s="1"/>
      <c r="AB261" s="1" t="s">
        <v>3</v>
      </c>
      <c r="AC261" s="1" t="s">
        <v>3</v>
      </c>
      <c r="AD261" s="1" t="s">
        <v>3</v>
      </c>
      <c r="AE261" s="1" t="s">
        <v>3</v>
      </c>
      <c r="AF261" s="1" t="s">
        <v>3</v>
      </c>
      <c r="AG261" s="1" t="s">
        <v>3</v>
      </c>
      <c r="AH261" s="1"/>
      <c r="AI261" s="1"/>
      <c r="AJ261" s="1"/>
      <c r="AK261" s="1"/>
      <c r="AL261" s="1"/>
      <c r="AM261" s="1"/>
      <c r="AN261" s="1"/>
      <c r="AO261" s="1"/>
      <c r="AP261" s="1" t="s">
        <v>3</v>
      </c>
      <c r="AQ261" s="1" t="s">
        <v>3</v>
      </c>
      <c r="AR261" s="1" t="s">
        <v>3</v>
      </c>
      <c r="AS261" s="1"/>
      <c r="AT261" s="1"/>
      <c r="AU261" s="1"/>
      <c r="AV261" s="1"/>
      <c r="AW261" s="1"/>
      <c r="AX261" s="1"/>
      <c r="AY261" s="1"/>
      <c r="AZ261" s="1" t="s">
        <v>3</v>
      </c>
      <c r="BA261" s="1"/>
      <c r="BB261" s="1" t="s">
        <v>3</v>
      </c>
      <c r="BC261" s="1" t="s">
        <v>3</v>
      </c>
      <c r="BD261" s="1" t="s">
        <v>3</v>
      </c>
      <c r="BE261" s="1" t="s">
        <v>3</v>
      </c>
      <c r="BF261" s="1" t="s">
        <v>3</v>
      </c>
      <c r="BG261" s="1" t="s">
        <v>3</v>
      </c>
      <c r="BH261" s="1" t="s">
        <v>3</v>
      </c>
      <c r="BI261" s="1" t="s">
        <v>3</v>
      </c>
      <c r="BJ261" s="1" t="s">
        <v>3</v>
      </c>
      <c r="BK261" s="1" t="s">
        <v>3</v>
      </c>
      <c r="BL261" s="1" t="s">
        <v>3</v>
      </c>
      <c r="BM261" s="1" t="s">
        <v>3</v>
      </c>
      <c r="BN261" s="1" t="s">
        <v>3</v>
      </c>
      <c r="BO261" s="1" t="s">
        <v>3</v>
      </c>
      <c r="BP261" s="1" t="s">
        <v>3</v>
      </c>
      <c r="BQ261" s="1"/>
      <c r="BR261" s="1"/>
      <c r="BS261" s="1"/>
      <c r="BT261" s="1"/>
      <c r="BU261" s="1"/>
      <c r="BV261" s="1"/>
      <c r="BW261" s="1"/>
      <c r="BX261" s="1">
        <v>0</v>
      </c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>
        <v>0</v>
      </c>
    </row>
    <row r="263" spans="1:245" x14ac:dyDescent="0.2">
      <c r="A263" s="2">
        <v>52</v>
      </c>
      <c r="B263" s="2">
        <f t="shared" ref="B263:G263" si="234">B273</f>
        <v>1</v>
      </c>
      <c r="C263" s="2">
        <f t="shared" si="234"/>
        <v>4</v>
      </c>
      <c r="D263" s="2">
        <f t="shared" si="234"/>
        <v>261</v>
      </c>
      <c r="E263" s="2">
        <f t="shared" si="234"/>
        <v>0</v>
      </c>
      <c r="F263" s="2" t="str">
        <f t="shared" si="234"/>
        <v>Новый раздел</v>
      </c>
      <c r="G263" s="2" t="str">
        <f t="shared" si="234"/>
        <v>Теплоснабжение</v>
      </c>
      <c r="H263" s="2"/>
      <c r="I263" s="2"/>
      <c r="J263" s="2"/>
      <c r="K263" s="2"/>
      <c r="L263" s="2"/>
      <c r="M263" s="2"/>
      <c r="N263" s="2"/>
      <c r="O263" s="2">
        <f t="shared" ref="O263:AT263" si="235">O273</f>
        <v>8357.23</v>
      </c>
      <c r="P263" s="2">
        <f t="shared" si="235"/>
        <v>12.53</v>
      </c>
      <c r="Q263" s="2">
        <f t="shared" si="235"/>
        <v>1490.5</v>
      </c>
      <c r="R263" s="2">
        <f t="shared" si="235"/>
        <v>808.5</v>
      </c>
      <c r="S263" s="2">
        <f t="shared" si="235"/>
        <v>6854.2</v>
      </c>
      <c r="T263" s="2">
        <f t="shared" si="235"/>
        <v>0</v>
      </c>
      <c r="U263" s="2">
        <f t="shared" si="235"/>
        <v>13.120000000000001</v>
      </c>
      <c r="V263" s="2">
        <f t="shared" si="235"/>
        <v>0</v>
      </c>
      <c r="W263" s="2">
        <f t="shared" si="235"/>
        <v>0</v>
      </c>
      <c r="X263" s="2">
        <f t="shared" si="235"/>
        <v>4797.9399999999996</v>
      </c>
      <c r="Y263" s="2">
        <f t="shared" si="235"/>
        <v>685.43</v>
      </c>
      <c r="Z263" s="2">
        <f t="shared" si="235"/>
        <v>0</v>
      </c>
      <c r="AA263" s="2">
        <f t="shared" si="235"/>
        <v>0</v>
      </c>
      <c r="AB263" s="2">
        <f t="shared" si="235"/>
        <v>8357.23</v>
      </c>
      <c r="AC263" s="2">
        <f t="shared" si="235"/>
        <v>12.53</v>
      </c>
      <c r="AD263" s="2">
        <f t="shared" si="235"/>
        <v>1490.5</v>
      </c>
      <c r="AE263" s="2">
        <f t="shared" si="235"/>
        <v>808.5</v>
      </c>
      <c r="AF263" s="2">
        <f t="shared" si="235"/>
        <v>6854.2</v>
      </c>
      <c r="AG263" s="2">
        <f t="shared" si="235"/>
        <v>0</v>
      </c>
      <c r="AH263" s="2">
        <f t="shared" si="235"/>
        <v>13.120000000000001</v>
      </c>
      <c r="AI263" s="2">
        <f t="shared" si="235"/>
        <v>0</v>
      </c>
      <c r="AJ263" s="2">
        <f t="shared" si="235"/>
        <v>0</v>
      </c>
      <c r="AK263" s="2">
        <f t="shared" si="235"/>
        <v>4797.9399999999996</v>
      </c>
      <c r="AL263" s="2">
        <f t="shared" si="235"/>
        <v>685.43</v>
      </c>
      <c r="AM263" s="2">
        <f t="shared" si="235"/>
        <v>0</v>
      </c>
      <c r="AN263" s="2">
        <f t="shared" si="235"/>
        <v>0</v>
      </c>
      <c r="AO263" s="2">
        <f t="shared" si="235"/>
        <v>0</v>
      </c>
      <c r="AP263" s="2">
        <f t="shared" si="235"/>
        <v>0</v>
      </c>
      <c r="AQ263" s="2">
        <f t="shared" si="235"/>
        <v>0</v>
      </c>
      <c r="AR263" s="2">
        <f t="shared" si="235"/>
        <v>14713.78</v>
      </c>
      <c r="AS263" s="2">
        <f t="shared" si="235"/>
        <v>0</v>
      </c>
      <c r="AT263" s="2">
        <f t="shared" si="235"/>
        <v>0</v>
      </c>
      <c r="AU263" s="2">
        <f t="shared" ref="AU263:BZ263" si="236">AU273</f>
        <v>14713.78</v>
      </c>
      <c r="AV263" s="2">
        <f t="shared" si="236"/>
        <v>12.53</v>
      </c>
      <c r="AW263" s="2">
        <f t="shared" si="236"/>
        <v>12.53</v>
      </c>
      <c r="AX263" s="2">
        <f t="shared" si="236"/>
        <v>0</v>
      </c>
      <c r="AY263" s="2">
        <f t="shared" si="236"/>
        <v>12.53</v>
      </c>
      <c r="AZ263" s="2">
        <f t="shared" si="236"/>
        <v>0</v>
      </c>
      <c r="BA263" s="2">
        <f t="shared" si="236"/>
        <v>0</v>
      </c>
      <c r="BB263" s="2">
        <f t="shared" si="236"/>
        <v>0</v>
      </c>
      <c r="BC263" s="2">
        <f t="shared" si="236"/>
        <v>0</v>
      </c>
      <c r="BD263" s="2">
        <f t="shared" si="236"/>
        <v>0</v>
      </c>
      <c r="BE263" s="2">
        <f t="shared" si="236"/>
        <v>0</v>
      </c>
      <c r="BF263" s="2">
        <f t="shared" si="236"/>
        <v>0</v>
      </c>
      <c r="BG263" s="2">
        <f t="shared" si="236"/>
        <v>0</v>
      </c>
      <c r="BH263" s="2">
        <f t="shared" si="236"/>
        <v>0</v>
      </c>
      <c r="BI263" s="2">
        <f t="shared" si="236"/>
        <v>0</v>
      </c>
      <c r="BJ263" s="2">
        <f t="shared" si="236"/>
        <v>0</v>
      </c>
      <c r="BK263" s="2">
        <f t="shared" si="236"/>
        <v>0</v>
      </c>
      <c r="BL263" s="2">
        <f t="shared" si="236"/>
        <v>0</v>
      </c>
      <c r="BM263" s="2">
        <f t="shared" si="236"/>
        <v>0</v>
      </c>
      <c r="BN263" s="2">
        <f t="shared" si="236"/>
        <v>0</v>
      </c>
      <c r="BO263" s="2">
        <f t="shared" si="236"/>
        <v>0</v>
      </c>
      <c r="BP263" s="2">
        <f t="shared" si="236"/>
        <v>0</v>
      </c>
      <c r="BQ263" s="2">
        <f t="shared" si="236"/>
        <v>0</v>
      </c>
      <c r="BR263" s="2">
        <f t="shared" si="236"/>
        <v>0</v>
      </c>
      <c r="BS263" s="2">
        <f t="shared" si="236"/>
        <v>0</v>
      </c>
      <c r="BT263" s="2">
        <f t="shared" si="236"/>
        <v>0</v>
      </c>
      <c r="BU263" s="2">
        <f t="shared" si="236"/>
        <v>0</v>
      </c>
      <c r="BV263" s="2">
        <f t="shared" si="236"/>
        <v>0</v>
      </c>
      <c r="BW263" s="2">
        <f t="shared" si="236"/>
        <v>0</v>
      </c>
      <c r="BX263" s="2">
        <f t="shared" si="236"/>
        <v>0</v>
      </c>
      <c r="BY263" s="2">
        <f t="shared" si="236"/>
        <v>0</v>
      </c>
      <c r="BZ263" s="2">
        <f t="shared" si="236"/>
        <v>0</v>
      </c>
      <c r="CA263" s="2">
        <f t="shared" ref="CA263:DF263" si="237">CA273</f>
        <v>14713.78</v>
      </c>
      <c r="CB263" s="2">
        <f t="shared" si="237"/>
        <v>0</v>
      </c>
      <c r="CC263" s="2">
        <f t="shared" si="237"/>
        <v>0</v>
      </c>
      <c r="CD263" s="2">
        <f t="shared" si="237"/>
        <v>14713.78</v>
      </c>
      <c r="CE263" s="2">
        <f t="shared" si="237"/>
        <v>12.53</v>
      </c>
      <c r="CF263" s="2">
        <f t="shared" si="237"/>
        <v>12.53</v>
      </c>
      <c r="CG263" s="2">
        <f t="shared" si="237"/>
        <v>0</v>
      </c>
      <c r="CH263" s="2">
        <f t="shared" si="237"/>
        <v>12.53</v>
      </c>
      <c r="CI263" s="2">
        <f t="shared" si="237"/>
        <v>0</v>
      </c>
      <c r="CJ263" s="2">
        <f t="shared" si="237"/>
        <v>0</v>
      </c>
      <c r="CK263" s="2">
        <f t="shared" si="237"/>
        <v>0</v>
      </c>
      <c r="CL263" s="2">
        <f t="shared" si="237"/>
        <v>0</v>
      </c>
      <c r="CM263" s="2">
        <f t="shared" si="237"/>
        <v>0</v>
      </c>
      <c r="CN263" s="2">
        <f t="shared" si="237"/>
        <v>0</v>
      </c>
      <c r="CO263" s="2">
        <f t="shared" si="237"/>
        <v>0</v>
      </c>
      <c r="CP263" s="2">
        <f t="shared" si="237"/>
        <v>0</v>
      </c>
      <c r="CQ263" s="2">
        <f t="shared" si="237"/>
        <v>0</v>
      </c>
      <c r="CR263" s="2">
        <f t="shared" si="237"/>
        <v>0</v>
      </c>
      <c r="CS263" s="2">
        <f t="shared" si="237"/>
        <v>0</v>
      </c>
      <c r="CT263" s="2">
        <f t="shared" si="237"/>
        <v>0</v>
      </c>
      <c r="CU263" s="2">
        <f t="shared" si="237"/>
        <v>0</v>
      </c>
      <c r="CV263" s="2">
        <f t="shared" si="237"/>
        <v>0</v>
      </c>
      <c r="CW263" s="2">
        <f t="shared" si="237"/>
        <v>0</v>
      </c>
      <c r="CX263" s="2">
        <f t="shared" si="237"/>
        <v>0</v>
      </c>
      <c r="CY263" s="2">
        <f t="shared" si="237"/>
        <v>0</v>
      </c>
      <c r="CZ263" s="2">
        <f t="shared" si="237"/>
        <v>0</v>
      </c>
      <c r="DA263" s="2">
        <f t="shared" si="237"/>
        <v>0</v>
      </c>
      <c r="DB263" s="2">
        <f t="shared" si="237"/>
        <v>0</v>
      </c>
      <c r="DC263" s="2">
        <f t="shared" si="237"/>
        <v>0</v>
      </c>
      <c r="DD263" s="2">
        <f t="shared" si="237"/>
        <v>0</v>
      </c>
      <c r="DE263" s="2">
        <f t="shared" si="237"/>
        <v>0</v>
      </c>
      <c r="DF263" s="2">
        <f t="shared" si="237"/>
        <v>0</v>
      </c>
      <c r="DG263" s="3">
        <f t="shared" ref="DG263:EL263" si="238">DG273</f>
        <v>0</v>
      </c>
      <c r="DH263" s="3">
        <f t="shared" si="238"/>
        <v>0</v>
      </c>
      <c r="DI263" s="3">
        <f t="shared" si="238"/>
        <v>0</v>
      </c>
      <c r="DJ263" s="3">
        <f t="shared" si="238"/>
        <v>0</v>
      </c>
      <c r="DK263" s="3">
        <f t="shared" si="238"/>
        <v>0</v>
      </c>
      <c r="DL263" s="3">
        <f t="shared" si="238"/>
        <v>0</v>
      </c>
      <c r="DM263" s="3">
        <f t="shared" si="238"/>
        <v>0</v>
      </c>
      <c r="DN263" s="3">
        <f t="shared" si="238"/>
        <v>0</v>
      </c>
      <c r="DO263" s="3">
        <f t="shared" si="238"/>
        <v>0</v>
      </c>
      <c r="DP263" s="3">
        <f t="shared" si="238"/>
        <v>0</v>
      </c>
      <c r="DQ263" s="3">
        <f t="shared" si="238"/>
        <v>0</v>
      </c>
      <c r="DR263" s="3">
        <f t="shared" si="238"/>
        <v>0</v>
      </c>
      <c r="DS263" s="3">
        <f t="shared" si="238"/>
        <v>0</v>
      </c>
      <c r="DT263" s="3">
        <f t="shared" si="238"/>
        <v>0</v>
      </c>
      <c r="DU263" s="3">
        <f t="shared" si="238"/>
        <v>0</v>
      </c>
      <c r="DV263" s="3">
        <f t="shared" si="238"/>
        <v>0</v>
      </c>
      <c r="DW263" s="3">
        <f t="shared" si="238"/>
        <v>0</v>
      </c>
      <c r="DX263" s="3">
        <f t="shared" si="238"/>
        <v>0</v>
      </c>
      <c r="DY263" s="3">
        <f t="shared" si="238"/>
        <v>0</v>
      </c>
      <c r="DZ263" s="3">
        <f t="shared" si="238"/>
        <v>0</v>
      </c>
      <c r="EA263" s="3">
        <f t="shared" si="238"/>
        <v>0</v>
      </c>
      <c r="EB263" s="3">
        <f t="shared" si="238"/>
        <v>0</v>
      </c>
      <c r="EC263" s="3">
        <f t="shared" si="238"/>
        <v>0</v>
      </c>
      <c r="ED263" s="3">
        <f t="shared" si="238"/>
        <v>0</v>
      </c>
      <c r="EE263" s="3">
        <f t="shared" si="238"/>
        <v>0</v>
      </c>
      <c r="EF263" s="3">
        <f t="shared" si="238"/>
        <v>0</v>
      </c>
      <c r="EG263" s="3">
        <f t="shared" si="238"/>
        <v>0</v>
      </c>
      <c r="EH263" s="3">
        <f t="shared" si="238"/>
        <v>0</v>
      </c>
      <c r="EI263" s="3">
        <f t="shared" si="238"/>
        <v>0</v>
      </c>
      <c r="EJ263" s="3">
        <f t="shared" si="238"/>
        <v>0</v>
      </c>
      <c r="EK263" s="3">
        <f t="shared" si="238"/>
        <v>0</v>
      </c>
      <c r="EL263" s="3">
        <f t="shared" si="238"/>
        <v>0</v>
      </c>
      <c r="EM263" s="3">
        <f t="shared" ref="EM263:FR263" si="239">EM273</f>
        <v>0</v>
      </c>
      <c r="EN263" s="3">
        <f t="shared" si="239"/>
        <v>0</v>
      </c>
      <c r="EO263" s="3">
        <f t="shared" si="239"/>
        <v>0</v>
      </c>
      <c r="EP263" s="3">
        <f t="shared" si="239"/>
        <v>0</v>
      </c>
      <c r="EQ263" s="3">
        <f t="shared" si="239"/>
        <v>0</v>
      </c>
      <c r="ER263" s="3">
        <f t="shared" si="239"/>
        <v>0</v>
      </c>
      <c r="ES263" s="3">
        <f t="shared" si="239"/>
        <v>0</v>
      </c>
      <c r="ET263" s="3">
        <f t="shared" si="239"/>
        <v>0</v>
      </c>
      <c r="EU263" s="3">
        <f t="shared" si="239"/>
        <v>0</v>
      </c>
      <c r="EV263" s="3">
        <f t="shared" si="239"/>
        <v>0</v>
      </c>
      <c r="EW263" s="3">
        <f t="shared" si="239"/>
        <v>0</v>
      </c>
      <c r="EX263" s="3">
        <f t="shared" si="239"/>
        <v>0</v>
      </c>
      <c r="EY263" s="3">
        <f t="shared" si="239"/>
        <v>0</v>
      </c>
      <c r="EZ263" s="3">
        <f t="shared" si="239"/>
        <v>0</v>
      </c>
      <c r="FA263" s="3">
        <f t="shared" si="239"/>
        <v>0</v>
      </c>
      <c r="FB263" s="3">
        <f t="shared" si="239"/>
        <v>0</v>
      </c>
      <c r="FC263" s="3">
        <f t="shared" si="239"/>
        <v>0</v>
      </c>
      <c r="FD263" s="3">
        <f t="shared" si="239"/>
        <v>0</v>
      </c>
      <c r="FE263" s="3">
        <f t="shared" si="239"/>
        <v>0</v>
      </c>
      <c r="FF263" s="3">
        <f t="shared" si="239"/>
        <v>0</v>
      </c>
      <c r="FG263" s="3">
        <f t="shared" si="239"/>
        <v>0</v>
      </c>
      <c r="FH263" s="3">
        <f t="shared" si="239"/>
        <v>0</v>
      </c>
      <c r="FI263" s="3">
        <f t="shared" si="239"/>
        <v>0</v>
      </c>
      <c r="FJ263" s="3">
        <f t="shared" si="239"/>
        <v>0</v>
      </c>
      <c r="FK263" s="3">
        <f t="shared" si="239"/>
        <v>0</v>
      </c>
      <c r="FL263" s="3">
        <f t="shared" si="239"/>
        <v>0</v>
      </c>
      <c r="FM263" s="3">
        <f t="shared" si="239"/>
        <v>0</v>
      </c>
      <c r="FN263" s="3">
        <f t="shared" si="239"/>
        <v>0</v>
      </c>
      <c r="FO263" s="3">
        <f t="shared" si="239"/>
        <v>0</v>
      </c>
      <c r="FP263" s="3">
        <f t="shared" si="239"/>
        <v>0</v>
      </c>
      <c r="FQ263" s="3">
        <f t="shared" si="239"/>
        <v>0</v>
      </c>
      <c r="FR263" s="3">
        <f t="shared" si="239"/>
        <v>0</v>
      </c>
      <c r="FS263" s="3">
        <f t="shared" ref="FS263:GX263" si="240">FS273</f>
        <v>0</v>
      </c>
      <c r="FT263" s="3">
        <f t="shared" si="240"/>
        <v>0</v>
      </c>
      <c r="FU263" s="3">
        <f t="shared" si="240"/>
        <v>0</v>
      </c>
      <c r="FV263" s="3">
        <f t="shared" si="240"/>
        <v>0</v>
      </c>
      <c r="FW263" s="3">
        <f t="shared" si="240"/>
        <v>0</v>
      </c>
      <c r="FX263" s="3">
        <f t="shared" si="240"/>
        <v>0</v>
      </c>
      <c r="FY263" s="3">
        <f t="shared" si="240"/>
        <v>0</v>
      </c>
      <c r="FZ263" s="3">
        <f t="shared" si="240"/>
        <v>0</v>
      </c>
      <c r="GA263" s="3">
        <f t="shared" si="240"/>
        <v>0</v>
      </c>
      <c r="GB263" s="3">
        <f t="shared" si="240"/>
        <v>0</v>
      </c>
      <c r="GC263" s="3">
        <f t="shared" si="240"/>
        <v>0</v>
      </c>
      <c r="GD263" s="3">
        <f t="shared" si="240"/>
        <v>0</v>
      </c>
      <c r="GE263" s="3">
        <f t="shared" si="240"/>
        <v>0</v>
      </c>
      <c r="GF263" s="3">
        <f t="shared" si="240"/>
        <v>0</v>
      </c>
      <c r="GG263" s="3">
        <f t="shared" si="240"/>
        <v>0</v>
      </c>
      <c r="GH263" s="3">
        <f t="shared" si="240"/>
        <v>0</v>
      </c>
      <c r="GI263" s="3">
        <f t="shared" si="240"/>
        <v>0</v>
      </c>
      <c r="GJ263" s="3">
        <f t="shared" si="240"/>
        <v>0</v>
      </c>
      <c r="GK263" s="3">
        <f t="shared" si="240"/>
        <v>0</v>
      </c>
      <c r="GL263" s="3">
        <f t="shared" si="240"/>
        <v>0</v>
      </c>
      <c r="GM263" s="3">
        <f t="shared" si="240"/>
        <v>0</v>
      </c>
      <c r="GN263" s="3">
        <f t="shared" si="240"/>
        <v>0</v>
      </c>
      <c r="GO263" s="3">
        <f t="shared" si="240"/>
        <v>0</v>
      </c>
      <c r="GP263" s="3">
        <f t="shared" si="240"/>
        <v>0</v>
      </c>
      <c r="GQ263" s="3">
        <f t="shared" si="240"/>
        <v>0</v>
      </c>
      <c r="GR263" s="3">
        <f t="shared" si="240"/>
        <v>0</v>
      </c>
      <c r="GS263" s="3">
        <f t="shared" si="240"/>
        <v>0</v>
      </c>
      <c r="GT263" s="3">
        <f t="shared" si="240"/>
        <v>0</v>
      </c>
      <c r="GU263" s="3">
        <f t="shared" si="240"/>
        <v>0</v>
      </c>
      <c r="GV263" s="3">
        <f t="shared" si="240"/>
        <v>0</v>
      </c>
      <c r="GW263" s="3">
        <f t="shared" si="240"/>
        <v>0</v>
      </c>
      <c r="GX263" s="3">
        <f t="shared" si="240"/>
        <v>0</v>
      </c>
    </row>
    <row r="265" spans="1:245" x14ac:dyDescent="0.2">
      <c r="A265">
        <v>17</v>
      </c>
      <c r="B265">
        <v>1</v>
      </c>
      <c r="D265">
        <f>ROW(EtalonRes!A140)</f>
        <v>140</v>
      </c>
      <c r="E265" t="s">
        <v>3</v>
      </c>
      <c r="F265" t="s">
        <v>287</v>
      </c>
      <c r="G265" t="s">
        <v>288</v>
      </c>
      <c r="H265" t="s">
        <v>42</v>
      </c>
      <c r="I265">
        <v>5</v>
      </c>
      <c r="J265">
        <v>0</v>
      </c>
      <c r="K265">
        <v>5</v>
      </c>
      <c r="O265">
        <f t="shared" ref="O265:O271" si="241">ROUND(CP265,2)</f>
        <v>16957.8</v>
      </c>
      <c r="P265">
        <f t="shared" ref="P265:P271" si="242">ROUND(CQ265*I265,2)</f>
        <v>331.78</v>
      </c>
      <c r="Q265">
        <f t="shared" ref="Q265:Q271" si="243">ROUND(CR265*I265,2)</f>
        <v>0</v>
      </c>
      <c r="R265">
        <f t="shared" ref="R265:R271" si="244">ROUND(CS265*I265,2)</f>
        <v>0</v>
      </c>
      <c r="S265">
        <f t="shared" ref="S265:S271" si="245">ROUND(CT265*I265,2)</f>
        <v>16626.02</v>
      </c>
      <c r="T265">
        <f t="shared" ref="T265:T271" si="246">ROUND(CU265*I265,2)</f>
        <v>0</v>
      </c>
      <c r="U265">
        <f t="shared" ref="U265:U271" si="247">CV265*I265</f>
        <v>29.166666666666664</v>
      </c>
      <c r="V265">
        <f t="shared" ref="V265:V271" si="248">CW265*I265</f>
        <v>0</v>
      </c>
      <c r="W265">
        <f t="shared" ref="W265:W271" si="249">ROUND(CX265*I265,2)</f>
        <v>0</v>
      </c>
      <c r="X265">
        <f t="shared" ref="X265:Y271" si="250">ROUND(CY265,2)</f>
        <v>11638.21</v>
      </c>
      <c r="Y265">
        <f t="shared" si="250"/>
        <v>1662.6</v>
      </c>
      <c r="AA265">
        <v>-1</v>
      </c>
      <c r="AB265">
        <f t="shared" ref="AB265:AB271" si="251">ROUND((AC265+AD265+AF265),6)</f>
        <v>3391.56</v>
      </c>
      <c r="AC265">
        <f>ROUND((((ES265/12)*4)),6)</f>
        <v>66.356667000000002</v>
      </c>
      <c r="AD265">
        <f>ROUND((((((ET265/12)*4))-(((EU265/12)*4)))+AE265),6)</f>
        <v>0</v>
      </c>
      <c r="AE265">
        <f>ROUND((((EU265/12)*4)),6)</f>
        <v>0</v>
      </c>
      <c r="AF265">
        <f>ROUND((((EV265/12)*4)),6)</f>
        <v>3325.2033329999999</v>
      </c>
      <c r="AG265">
        <f t="shared" ref="AG265:AG271" si="252">ROUND((AP265),6)</f>
        <v>0</v>
      </c>
      <c r="AH265">
        <f>(((EW265/12)*4))</f>
        <v>5.833333333333333</v>
      </c>
      <c r="AI265">
        <f>(((EX265/12)*4))</f>
        <v>0</v>
      </c>
      <c r="AJ265">
        <f t="shared" ref="AJ265:AJ271" si="253">(AS265)</f>
        <v>0</v>
      </c>
      <c r="AK265">
        <v>10174.68</v>
      </c>
      <c r="AL265">
        <v>199.07</v>
      </c>
      <c r="AM265">
        <v>0</v>
      </c>
      <c r="AN265">
        <v>0</v>
      </c>
      <c r="AO265">
        <v>9975.61</v>
      </c>
      <c r="AP265">
        <v>0</v>
      </c>
      <c r="AQ265">
        <v>17.5</v>
      </c>
      <c r="AR265">
        <v>0</v>
      </c>
      <c r="AS265">
        <v>0</v>
      </c>
      <c r="AT265">
        <v>70</v>
      </c>
      <c r="AU265">
        <v>10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289</v>
      </c>
      <c r="BM265">
        <v>0</v>
      </c>
      <c r="BN265">
        <v>0</v>
      </c>
      <c r="BO265" t="s">
        <v>3</v>
      </c>
      <c r="BP265">
        <v>0</v>
      </c>
      <c r="BQ265">
        <v>1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10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ref="CP265:CP271" si="254">(P265+Q265+S265)</f>
        <v>16957.8</v>
      </c>
      <c r="CQ265">
        <f t="shared" ref="CQ265:CQ271" si="255">(AC265*BC265*AW265)</f>
        <v>66.356667000000002</v>
      </c>
      <c r="CR265">
        <f>((((((ET265/12)*4))*BB265-(((EU265/12)*4))*BS265)+AE265*BS265)*AV265)</f>
        <v>0</v>
      </c>
      <c r="CS265">
        <f t="shared" ref="CS265:CS271" si="256">(AE265*BS265*AV265)</f>
        <v>0</v>
      </c>
      <c r="CT265">
        <f t="shared" ref="CT265:CT271" si="257">(AF265*BA265*AV265)</f>
        <v>3325.2033329999999</v>
      </c>
      <c r="CU265">
        <f t="shared" ref="CU265:CU271" si="258">AG265</f>
        <v>0</v>
      </c>
      <c r="CV265">
        <f t="shared" ref="CV265:CV271" si="259">(AH265*AV265)</f>
        <v>5.833333333333333</v>
      </c>
      <c r="CW265">
        <f t="shared" ref="CW265:CX271" si="260">AI265</f>
        <v>0</v>
      </c>
      <c r="CX265">
        <f t="shared" si="260"/>
        <v>0</v>
      </c>
      <c r="CY265">
        <f t="shared" ref="CY265:CY271" si="261">((S265*BZ265)/100)</f>
        <v>11638.214000000002</v>
      </c>
      <c r="CZ265">
        <f t="shared" ref="CZ265:CZ271" si="262">((S265*CA265)/100)</f>
        <v>1662.6020000000001</v>
      </c>
      <c r="DC265" t="s">
        <v>3</v>
      </c>
      <c r="DD265" t="s">
        <v>290</v>
      </c>
      <c r="DE265" t="s">
        <v>290</v>
      </c>
      <c r="DF265" t="s">
        <v>290</v>
      </c>
      <c r="DG265" t="s">
        <v>290</v>
      </c>
      <c r="DH265" t="s">
        <v>3</v>
      </c>
      <c r="DI265" t="s">
        <v>290</v>
      </c>
      <c r="DJ265" t="s">
        <v>290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16987630</v>
      </c>
      <c r="DV265" t="s">
        <v>42</v>
      </c>
      <c r="DW265" t="s">
        <v>42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1364533919</v>
      </c>
      <c r="EF265">
        <v>1</v>
      </c>
      <c r="EG265" t="s">
        <v>21</v>
      </c>
      <c r="EH265">
        <v>0</v>
      </c>
      <c r="EI265" t="s">
        <v>3</v>
      </c>
      <c r="EJ265">
        <v>4</v>
      </c>
      <c r="EK265">
        <v>0</v>
      </c>
      <c r="EL265" t="s">
        <v>22</v>
      </c>
      <c r="EM265" t="s">
        <v>23</v>
      </c>
      <c r="EO265" t="s">
        <v>3</v>
      </c>
      <c r="EQ265">
        <v>1049600</v>
      </c>
      <c r="ER265">
        <v>10174.68</v>
      </c>
      <c r="ES265">
        <v>199.07</v>
      </c>
      <c r="ET265">
        <v>0</v>
      </c>
      <c r="EU265">
        <v>0</v>
      </c>
      <c r="EV265">
        <v>9975.61</v>
      </c>
      <c r="EW265">
        <v>17.5</v>
      </c>
      <c r="EX265">
        <v>0</v>
      </c>
      <c r="EY265">
        <v>0</v>
      </c>
      <c r="FQ265">
        <v>0</v>
      </c>
      <c r="FR265">
        <f t="shared" ref="FR265:FR271" si="263">ROUND(IF(BI265=3,GM265,0),2)</f>
        <v>0</v>
      </c>
      <c r="FS265">
        <v>0</v>
      </c>
      <c r="FX265">
        <v>70</v>
      </c>
      <c r="FY265">
        <v>10</v>
      </c>
      <c r="GA265" t="s">
        <v>3</v>
      </c>
      <c r="GD265">
        <v>0</v>
      </c>
      <c r="GF265">
        <v>-200422485</v>
      </c>
      <c r="GG265">
        <v>2</v>
      </c>
      <c r="GH265">
        <v>1</v>
      </c>
      <c r="GI265">
        <v>-2</v>
      </c>
      <c r="GJ265">
        <v>0</v>
      </c>
      <c r="GK265">
        <f>ROUND(R265*(R12)/100,2)</f>
        <v>0</v>
      </c>
      <c r="GL265">
        <f t="shared" ref="GL265:GL271" si="264">ROUND(IF(AND(BH265=3,BI265=3,FS265&lt;&gt;0),P265,0),2)</f>
        <v>0</v>
      </c>
      <c r="GM265">
        <f t="shared" ref="GM265:GM271" si="265">ROUND(O265+X265+Y265+GK265,2)+GX265</f>
        <v>30258.61</v>
      </c>
      <c r="GN265">
        <f t="shared" ref="GN265:GN271" si="266">IF(OR(BI265=0,BI265=1),ROUND(O265+X265+Y265+GK265,2),0)</f>
        <v>0</v>
      </c>
      <c r="GO265">
        <f t="shared" ref="GO265:GO271" si="267">IF(BI265=2,ROUND(O265+X265+Y265+GK265,2),0)</f>
        <v>0</v>
      </c>
      <c r="GP265">
        <f t="shared" ref="GP265:GP271" si="268">IF(BI265=4,ROUND(O265+X265+Y265+GK265,2)+GX265,0)</f>
        <v>30258.61</v>
      </c>
      <c r="GR265">
        <v>0</v>
      </c>
      <c r="GS265">
        <v>3</v>
      </c>
      <c r="GT265">
        <v>0</v>
      </c>
      <c r="GU265" t="s">
        <v>3</v>
      </c>
      <c r="GV265">
        <f t="shared" ref="GV265:GV271" si="269">ROUND((GT265),6)</f>
        <v>0</v>
      </c>
      <c r="GW265">
        <v>1</v>
      </c>
      <c r="GX265">
        <f t="shared" ref="GX265:GX271" si="270">ROUND(HC265*I265,2)</f>
        <v>0</v>
      </c>
      <c r="HA265">
        <v>0</v>
      </c>
      <c r="HB265">
        <v>0</v>
      </c>
      <c r="HC265">
        <f t="shared" ref="HC265:HC271" si="271">GV265*GW265</f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D266">
        <f>ROW(EtalonRes!A148)</f>
        <v>148</v>
      </c>
      <c r="E266" t="s">
        <v>3</v>
      </c>
      <c r="F266" t="s">
        <v>291</v>
      </c>
      <c r="G266" t="s">
        <v>292</v>
      </c>
      <c r="H266" t="s">
        <v>293</v>
      </c>
      <c r="I266">
        <v>2</v>
      </c>
      <c r="J266">
        <v>0</v>
      </c>
      <c r="K266">
        <v>2</v>
      </c>
      <c r="O266">
        <f t="shared" si="241"/>
        <v>15167.98</v>
      </c>
      <c r="P266">
        <f t="shared" si="242"/>
        <v>600.51</v>
      </c>
      <c r="Q266">
        <f t="shared" si="243"/>
        <v>0</v>
      </c>
      <c r="R266">
        <f t="shared" si="244"/>
        <v>0</v>
      </c>
      <c r="S266">
        <f t="shared" si="245"/>
        <v>14567.47</v>
      </c>
      <c r="T266">
        <f t="shared" si="246"/>
        <v>0</v>
      </c>
      <c r="U266">
        <f t="shared" si="247"/>
        <v>26.666666666666668</v>
      </c>
      <c r="V266">
        <f t="shared" si="248"/>
        <v>0</v>
      </c>
      <c r="W266">
        <f t="shared" si="249"/>
        <v>0</v>
      </c>
      <c r="X266">
        <f t="shared" si="250"/>
        <v>10197.23</v>
      </c>
      <c r="Y266">
        <f t="shared" si="250"/>
        <v>1456.75</v>
      </c>
      <c r="AA266">
        <v>-1</v>
      </c>
      <c r="AB266">
        <f t="shared" si="251"/>
        <v>7583.99</v>
      </c>
      <c r="AC266">
        <f>ROUND((((ES266/12)*4)),6)</f>
        <v>300.25666699999999</v>
      </c>
      <c r="AD266">
        <f>ROUND((((((ET266/12)*4))-(((EU266/12)*4)))+AE266),6)</f>
        <v>0</v>
      </c>
      <c r="AE266">
        <f>ROUND((((EU266/12)*4)),6)</f>
        <v>0</v>
      </c>
      <c r="AF266">
        <f>ROUND((((EV266/12)*4)),6)</f>
        <v>7283.7333330000001</v>
      </c>
      <c r="AG266">
        <f t="shared" si="252"/>
        <v>0</v>
      </c>
      <c r="AH266">
        <f>(((EW266/12)*4))</f>
        <v>13.333333333333334</v>
      </c>
      <c r="AI266">
        <f>(((EX266/12)*4))</f>
        <v>0</v>
      </c>
      <c r="AJ266">
        <f t="shared" si="253"/>
        <v>0</v>
      </c>
      <c r="AK266">
        <v>22751.97</v>
      </c>
      <c r="AL266">
        <v>900.77</v>
      </c>
      <c r="AM266">
        <v>0</v>
      </c>
      <c r="AN266">
        <v>0</v>
      </c>
      <c r="AO266">
        <v>21851.200000000001</v>
      </c>
      <c r="AP266">
        <v>0</v>
      </c>
      <c r="AQ266">
        <v>40</v>
      </c>
      <c r="AR266">
        <v>0</v>
      </c>
      <c r="AS266">
        <v>0</v>
      </c>
      <c r="AT266">
        <v>70</v>
      </c>
      <c r="AU266">
        <v>10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294</v>
      </c>
      <c r="BM266">
        <v>0</v>
      </c>
      <c r="BN266">
        <v>0</v>
      </c>
      <c r="BO266" t="s">
        <v>3</v>
      </c>
      <c r="BP266">
        <v>0</v>
      </c>
      <c r="BQ266">
        <v>1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10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54"/>
        <v>15167.98</v>
      </c>
      <c r="CQ266">
        <f t="shared" si="255"/>
        <v>300.25666699999999</v>
      </c>
      <c r="CR266">
        <f>((((((ET266/12)*4))*BB266-(((EU266/12)*4))*BS266)+AE266*BS266)*AV266)</f>
        <v>0</v>
      </c>
      <c r="CS266">
        <f t="shared" si="256"/>
        <v>0</v>
      </c>
      <c r="CT266">
        <f t="shared" si="257"/>
        <v>7283.7333330000001</v>
      </c>
      <c r="CU266">
        <f t="shared" si="258"/>
        <v>0</v>
      </c>
      <c r="CV266">
        <f t="shared" si="259"/>
        <v>13.333333333333334</v>
      </c>
      <c r="CW266">
        <f t="shared" si="260"/>
        <v>0</v>
      </c>
      <c r="CX266">
        <f t="shared" si="260"/>
        <v>0</v>
      </c>
      <c r="CY266">
        <f t="shared" si="261"/>
        <v>10197.228999999999</v>
      </c>
      <c r="CZ266">
        <f t="shared" si="262"/>
        <v>1456.7469999999998</v>
      </c>
      <c r="DC266" t="s">
        <v>3</v>
      </c>
      <c r="DD266" t="s">
        <v>290</v>
      </c>
      <c r="DE266" t="s">
        <v>290</v>
      </c>
      <c r="DF266" t="s">
        <v>290</v>
      </c>
      <c r="DG266" t="s">
        <v>290</v>
      </c>
      <c r="DH266" t="s">
        <v>3</v>
      </c>
      <c r="DI266" t="s">
        <v>290</v>
      </c>
      <c r="DJ266" t="s">
        <v>290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293</v>
      </c>
      <c r="DW266" t="s">
        <v>293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1364533919</v>
      </c>
      <c r="EF266">
        <v>1</v>
      </c>
      <c r="EG266" t="s">
        <v>21</v>
      </c>
      <c r="EH266">
        <v>0</v>
      </c>
      <c r="EI266" t="s">
        <v>3</v>
      </c>
      <c r="EJ266">
        <v>4</v>
      </c>
      <c r="EK266">
        <v>0</v>
      </c>
      <c r="EL266" t="s">
        <v>22</v>
      </c>
      <c r="EM266" t="s">
        <v>23</v>
      </c>
      <c r="EO266" t="s">
        <v>3</v>
      </c>
      <c r="EQ266">
        <v>1049600</v>
      </c>
      <c r="ER266">
        <v>22751.97</v>
      </c>
      <c r="ES266">
        <v>900.77</v>
      </c>
      <c r="ET266">
        <v>0</v>
      </c>
      <c r="EU266">
        <v>0</v>
      </c>
      <c r="EV266">
        <v>21851.200000000001</v>
      </c>
      <c r="EW266">
        <v>40</v>
      </c>
      <c r="EX266">
        <v>0</v>
      </c>
      <c r="EY266">
        <v>0</v>
      </c>
      <c r="FQ266">
        <v>0</v>
      </c>
      <c r="FR266">
        <f t="shared" si="263"/>
        <v>0</v>
      </c>
      <c r="FS266">
        <v>0</v>
      </c>
      <c r="FX266">
        <v>70</v>
      </c>
      <c r="FY266">
        <v>10</v>
      </c>
      <c r="GA266" t="s">
        <v>3</v>
      </c>
      <c r="GD266">
        <v>0</v>
      </c>
      <c r="GF266">
        <v>109545920</v>
      </c>
      <c r="GG266">
        <v>2</v>
      </c>
      <c r="GH266">
        <v>1</v>
      </c>
      <c r="GI266">
        <v>-2</v>
      </c>
      <c r="GJ266">
        <v>0</v>
      </c>
      <c r="GK266">
        <f>ROUND(R266*(R12)/100,2)</f>
        <v>0</v>
      </c>
      <c r="GL266">
        <f t="shared" si="264"/>
        <v>0</v>
      </c>
      <c r="GM266">
        <f t="shared" si="265"/>
        <v>26821.96</v>
      </c>
      <c r="GN266">
        <f t="shared" si="266"/>
        <v>0</v>
      </c>
      <c r="GO266">
        <f t="shared" si="267"/>
        <v>0</v>
      </c>
      <c r="GP266">
        <f t="shared" si="268"/>
        <v>26821.96</v>
      </c>
      <c r="GR266">
        <v>0</v>
      </c>
      <c r="GS266">
        <v>3</v>
      </c>
      <c r="GT266">
        <v>0</v>
      </c>
      <c r="GU266" t="s">
        <v>3</v>
      </c>
      <c r="GV266">
        <f t="shared" si="269"/>
        <v>0</v>
      </c>
      <c r="GW266">
        <v>1</v>
      </c>
      <c r="GX266">
        <f t="shared" si="270"/>
        <v>0</v>
      </c>
      <c r="HA266">
        <v>0</v>
      </c>
      <c r="HB266">
        <v>0</v>
      </c>
      <c r="HC266">
        <f t="shared" si="271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D267">
        <f>ROW(EtalonRes!A150)</f>
        <v>150</v>
      </c>
      <c r="E267" t="s">
        <v>295</v>
      </c>
      <c r="F267" t="s">
        <v>54</v>
      </c>
      <c r="G267" t="s">
        <v>296</v>
      </c>
      <c r="H267" t="s">
        <v>42</v>
      </c>
      <c r="I267">
        <v>2</v>
      </c>
      <c r="J267">
        <v>0</v>
      </c>
      <c r="K267">
        <v>2</v>
      </c>
      <c r="O267">
        <f t="shared" si="241"/>
        <v>1072.44</v>
      </c>
      <c r="P267">
        <f t="shared" si="242"/>
        <v>0</v>
      </c>
      <c r="Q267">
        <f t="shared" si="243"/>
        <v>357.72</v>
      </c>
      <c r="R267">
        <f t="shared" si="244"/>
        <v>194.04</v>
      </c>
      <c r="S267">
        <f t="shared" si="245"/>
        <v>714.72</v>
      </c>
      <c r="T267">
        <f t="shared" si="246"/>
        <v>0</v>
      </c>
      <c r="U267">
        <f t="shared" si="247"/>
        <v>1.48</v>
      </c>
      <c r="V267">
        <f t="shared" si="248"/>
        <v>0</v>
      </c>
      <c r="W267">
        <f t="shared" si="249"/>
        <v>0</v>
      </c>
      <c r="X267">
        <f t="shared" si="250"/>
        <v>500.3</v>
      </c>
      <c r="Y267">
        <f t="shared" si="250"/>
        <v>71.47</v>
      </c>
      <c r="AA267">
        <v>1407491423</v>
      </c>
      <c r="AB267">
        <f t="shared" si="251"/>
        <v>536.22</v>
      </c>
      <c r="AC267">
        <f>ROUND(((ES267*2)),6)</f>
        <v>0</v>
      </c>
      <c r="AD267">
        <f>ROUND(((((ET267*2))-((EU267*2)))+AE267),6)</f>
        <v>178.86</v>
      </c>
      <c r="AE267">
        <f>ROUND(((EU267*2)),6)</f>
        <v>97.02</v>
      </c>
      <c r="AF267">
        <f>ROUND(((EV267*2)),6)</f>
        <v>357.36</v>
      </c>
      <c r="AG267">
        <f t="shared" si="252"/>
        <v>0</v>
      </c>
      <c r="AH267">
        <f>((EW267*2))</f>
        <v>0.74</v>
      </c>
      <c r="AI267">
        <f>((EX267*2))</f>
        <v>0</v>
      </c>
      <c r="AJ267">
        <f t="shared" si="253"/>
        <v>0</v>
      </c>
      <c r="AK267">
        <v>268.11</v>
      </c>
      <c r="AL267">
        <v>0</v>
      </c>
      <c r="AM267">
        <v>89.43</v>
      </c>
      <c r="AN267">
        <v>48.51</v>
      </c>
      <c r="AO267">
        <v>178.68</v>
      </c>
      <c r="AP267">
        <v>0</v>
      </c>
      <c r="AQ267">
        <v>0.37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56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54"/>
        <v>1072.44</v>
      </c>
      <c r="CQ267">
        <f t="shared" si="255"/>
        <v>0</v>
      </c>
      <c r="CR267">
        <f>(((((ET267*2))*BB267-((EU267*2))*BS267)+AE267*BS267)*AV267)</f>
        <v>178.86</v>
      </c>
      <c r="CS267">
        <f t="shared" si="256"/>
        <v>97.02</v>
      </c>
      <c r="CT267">
        <f t="shared" si="257"/>
        <v>357.36</v>
      </c>
      <c r="CU267">
        <f t="shared" si="258"/>
        <v>0</v>
      </c>
      <c r="CV267">
        <f t="shared" si="259"/>
        <v>0.74</v>
      </c>
      <c r="CW267">
        <f t="shared" si="260"/>
        <v>0</v>
      </c>
      <c r="CX267">
        <f t="shared" si="260"/>
        <v>0</v>
      </c>
      <c r="CY267">
        <f t="shared" si="261"/>
        <v>500.30400000000003</v>
      </c>
      <c r="CZ267">
        <f t="shared" si="262"/>
        <v>71.472000000000008</v>
      </c>
      <c r="DC267" t="s">
        <v>3</v>
      </c>
      <c r="DD267" t="s">
        <v>52</v>
      </c>
      <c r="DE267" t="s">
        <v>52</v>
      </c>
      <c r="DF267" t="s">
        <v>52</v>
      </c>
      <c r="DG267" t="s">
        <v>52</v>
      </c>
      <c r="DH267" t="s">
        <v>3</v>
      </c>
      <c r="DI267" t="s">
        <v>52</v>
      </c>
      <c r="DJ267" t="s">
        <v>52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16987630</v>
      </c>
      <c r="DV267" t="s">
        <v>42</v>
      </c>
      <c r="DW267" t="s">
        <v>42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1364533919</v>
      </c>
      <c r="EF267">
        <v>1</v>
      </c>
      <c r="EG267" t="s">
        <v>21</v>
      </c>
      <c r="EH267">
        <v>0</v>
      </c>
      <c r="EI267" t="s">
        <v>3</v>
      </c>
      <c r="EJ267">
        <v>4</v>
      </c>
      <c r="EK267">
        <v>0</v>
      </c>
      <c r="EL267" t="s">
        <v>22</v>
      </c>
      <c r="EM267" t="s">
        <v>23</v>
      </c>
      <c r="EO267" t="s">
        <v>3</v>
      </c>
      <c r="EQ267">
        <v>0</v>
      </c>
      <c r="ER267">
        <v>268.11</v>
      </c>
      <c r="ES267">
        <v>0</v>
      </c>
      <c r="ET267">
        <v>89.43</v>
      </c>
      <c r="EU267">
        <v>48.51</v>
      </c>
      <c r="EV267">
        <v>178.68</v>
      </c>
      <c r="EW267">
        <v>0.37</v>
      </c>
      <c r="EX267">
        <v>0</v>
      </c>
      <c r="EY267">
        <v>0</v>
      </c>
      <c r="FQ267">
        <v>0</v>
      </c>
      <c r="FR267">
        <f t="shared" si="263"/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1145698927</v>
      </c>
      <c r="GG267">
        <v>2</v>
      </c>
      <c r="GH267">
        <v>1</v>
      </c>
      <c r="GI267">
        <v>-2</v>
      </c>
      <c r="GJ267">
        <v>0</v>
      </c>
      <c r="GK267">
        <f>ROUND(R267*(R12)/100,2)</f>
        <v>209.56</v>
      </c>
      <c r="GL267">
        <f t="shared" si="264"/>
        <v>0</v>
      </c>
      <c r="GM267">
        <f t="shared" si="265"/>
        <v>1853.77</v>
      </c>
      <c r="GN267">
        <f t="shared" si="266"/>
        <v>0</v>
      </c>
      <c r="GO267">
        <f t="shared" si="267"/>
        <v>0</v>
      </c>
      <c r="GP267">
        <f t="shared" si="268"/>
        <v>1853.77</v>
      </c>
      <c r="GR267">
        <v>0</v>
      </c>
      <c r="GS267">
        <v>3</v>
      </c>
      <c r="GT267">
        <v>0</v>
      </c>
      <c r="GU267" t="s">
        <v>3</v>
      </c>
      <c r="GV267">
        <f t="shared" si="269"/>
        <v>0</v>
      </c>
      <c r="GW267">
        <v>1</v>
      </c>
      <c r="GX267">
        <f t="shared" si="270"/>
        <v>0</v>
      </c>
      <c r="HA267">
        <v>0</v>
      </c>
      <c r="HB267">
        <v>0</v>
      </c>
      <c r="HC267">
        <f t="shared" si="271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D268">
        <f>ROW(EtalonRes!A152)</f>
        <v>152</v>
      </c>
      <c r="E268" t="s">
        <v>297</v>
      </c>
      <c r="F268" t="s">
        <v>70</v>
      </c>
      <c r="G268" t="s">
        <v>71</v>
      </c>
      <c r="H268" t="s">
        <v>37</v>
      </c>
      <c r="I268">
        <f>ROUND(2/10,9)</f>
        <v>0.2</v>
      </c>
      <c r="J268">
        <v>0</v>
      </c>
      <c r="K268">
        <f>ROUND(2/10,9)</f>
        <v>0.2</v>
      </c>
      <c r="O268">
        <f t="shared" si="241"/>
        <v>95.53</v>
      </c>
      <c r="P268">
        <f t="shared" si="242"/>
        <v>0.05</v>
      </c>
      <c r="Q268">
        <f t="shared" si="243"/>
        <v>0</v>
      </c>
      <c r="R268">
        <f t="shared" si="244"/>
        <v>0</v>
      </c>
      <c r="S268">
        <f t="shared" si="245"/>
        <v>95.48</v>
      </c>
      <c r="T268">
        <f t="shared" si="246"/>
        <v>0</v>
      </c>
      <c r="U268">
        <f t="shared" si="247"/>
        <v>0.18000000000000002</v>
      </c>
      <c r="V268">
        <f t="shared" si="248"/>
        <v>0</v>
      </c>
      <c r="W268">
        <f t="shared" si="249"/>
        <v>0</v>
      </c>
      <c r="X268">
        <f t="shared" si="250"/>
        <v>66.84</v>
      </c>
      <c r="Y268">
        <f t="shared" si="250"/>
        <v>9.5500000000000007</v>
      </c>
      <c r="AA268">
        <v>1407491423</v>
      </c>
      <c r="AB268">
        <f t="shared" si="251"/>
        <v>477.67</v>
      </c>
      <c r="AC268">
        <f>ROUND((ES268),6)</f>
        <v>0.26</v>
      </c>
      <c r="AD268">
        <f>ROUND((((ET268)-(EU268))+AE268),6)</f>
        <v>0</v>
      </c>
      <c r="AE268">
        <f>ROUND((EU268),6)</f>
        <v>0</v>
      </c>
      <c r="AF268">
        <f>ROUND((EV268),6)</f>
        <v>477.41</v>
      </c>
      <c r="AG268">
        <f t="shared" si="252"/>
        <v>0</v>
      </c>
      <c r="AH268">
        <f>(EW268)</f>
        <v>0.9</v>
      </c>
      <c r="AI268">
        <f>(EX268)</f>
        <v>0</v>
      </c>
      <c r="AJ268">
        <f t="shared" si="253"/>
        <v>0</v>
      </c>
      <c r="AK268">
        <v>477.67</v>
      </c>
      <c r="AL268">
        <v>0.26</v>
      </c>
      <c r="AM268">
        <v>0</v>
      </c>
      <c r="AN268">
        <v>0</v>
      </c>
      <c r="AO268">
        <v>477.41</v>
      </c>
      <c r="AP268">
        <v>0</v>
      </c>
      <c r="AQ268">
        <v>0.9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72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54"/>
        <v>95.53</v>
      </c>
      <c r="CQ268">
        <f t="shared" si="255"/>
        <v>0.26</v>
      </c>
      <c r="CR268">
        <f>((((ET268)*BB268-(EU268)*BS268)+AE268*BS268)*AV268)</f>
        <v>0</v>
      </c>
      <c r="CS268">
        <f t="shared" si="256"/>
        <v>0</v>
      </c>
      <c r="CT268">
        <f t="shared" si="257"/>
        <v>477.41</v>
      </c>
      <c r="CU268">
        <f t="shared" si="258"/>
        <v>0</v>
      </c>
      <c r="CV268">
        <f t="shared" si="259"/>
        <v>0.9</v>
      </c>
      <c r="CW268">
        <f t="shared" si="260"/>
        <v>0</v>
      </c>
      <c r="CX268">
        <f t="shared" si="260"/>
        <v>0</v>
      </c>
      <c r="CY268">
        <f t="shared" si="261"/>
        <v>66.835999999999999</v>
      </c>
      <c r="CZ268">
        <f t="shared" si="262"/>
        <v>9.548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16987630</v>
      </c>
      <c r="DV268" t="s">
        <v>37</v>
      </c>
      <c r="DW268" t="s">
        <v>37</v>
      </c>
      <c r="DX268">
        <v>10</v>
      </c>
      <c r="DZ268" t="s">
        <v>3</v>
      </c>
      <c r="EA268" t="s">
        <v>3</v>
      </c>
      <c r="EB268" t="s">
        <v>3</v>
      </c>
      <c r="EC268" t="s">
        <v>3</v>
      </c>
      <c r="EE268">
        <v>1364533919</v>
      </c>
      <c r="EF268">
        <v>1</v>
      </c>
      <c r="EG268" t="s">
        <v>21</v>
      </c>
      <c r="EH268">
        <v>0</v>
      </c>
      <c r="EI268" t="s">
        <v>3</v>
      </c>
      <c r="EJ268">
        <v>4</v>
      </c>
      <c r="EK268">
        <v>0</v>
      </c>
      <c r="EL268" t="s">
        <v>22</v>
      </c>
      <c r="EM268" t="s">
        <v>23</v>
      </c>
      <c r="EO268" t="s">
        <v>3</v>
      </c>
      <c r="EQ268">
        <v>0</v>
      </c>
      <c r="ER268">
        <v>477.67</v>
      </c>
      <c r="ES268">
        <v>0.26</v>
      </c>
      <c r="ET268">
        <v>0</v>
      </c>
      <c r="EU268">
        <v>0</v>
      </c>
      <c r="EV268">
        <v>477.41</v>
      </c>
      <c r="EW268">
        <v>0.9</v>
      </c>
      <c r="EX268">
        <v>0</v>
      </c>
      <c r="EY268">
        <v>0</v>
      </c>
      <c r="FQ268">
        <v>0</v>
      </c>
      <c r="FR268">
        <f t="shared" si="263"/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1505479443</v>
      </c>
      <c r="GG268">
        <v>2</v>
      </c>
      <c r="GH268">
        <v>1</v>
      </c>
      <c r="GI268">
        <v>-2</v>
      </c>
      <c r="GJ268">
        <v>0</v>
      </c>
      <c r="GK268">
        <f>ROUND(R268*(R12)/100,2)</f>
        <v>0</v>
      </c>
      <c r="GL268">
        <f t="shared" si="264"/>
        <v>0</v>
      </c>
      <c r="GM268">
        <f t="shared" si="265"/>
        <v>171.92</v>
      </c>
      <c r="GN268">
        <f t="shared" si="266"/>
        <v>0</v>
      </c>
      <c r="GO268">
        <f t="shared" si="267"/>
        <v>0</v>
      </c>
      <c r="GP268">
        <f t="shared" si="268"/>
        <v>171.92</v>
      </c>
      <c r="GR268">
        <v>0</v>
      </c>
      <c r="GS268">
        <v>3</v>
      </c>
      <c r="GT268">
        <v>0</v>
      </c>
      <c r="GU268" t="s">
        <v>3</v>
      </c>
      <c r="GV268">
        <f t="shared" si="269"/>
        <v>0</v>
      </c>
      <c r="GW268">
        <v>1</v>
      </c>
      <c r="GX268">
        <f t="shared" si="270"/>
        <v>0</v>
      </c>
      <c r="HA268">
        <v>0</v>
      </c>
      <c r="HB268">
        <v>0</v>
      </c>
      <c r="HC268">
        <f t="shared" si="271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D269">
        <f>ROW(EtalonRes!A155)</f>
        <v>155</v>
      </c>
      <c r="E269" t="s">
        <v>298</v>
      </c>
      <c r="F269" t="s">
        <v>299</v>
      </c>
      <c r="G269" t="s">
        <v>300</v>
      </c>
      <c r="H269" t="s">
        <v>42</v>
      </c>
      <c r="I269">
        <v>16</v>
      </c>
      <c r="J269">
        <v>0</v>
      </c>
      <c r="K269">
        <v>16</v>
      </c>
      <c r="O269">
        <f t="shared" si="241"/>
        <v>4361.28</v>
      </c>
      <c r="P269">
        <f t="shared" si="242"/>
        <v>12.48</v>
      </c>
      <c r="Q269">
        <f t="shared" si="243"/>
        <v>953.92</v>
      </c>
      <c r="R269">
        <f t="shared" si="244"/>
        <v>517.44000000000005</v>
      </c>
      <c r="S269">
        <f t="shared" si="245"/>
        <v>3394.88</v>
      </c>
      <c r="T269">
        <f t="shared" si="246"/>
        <v>0</v>
      </c>
      <c r="U269">
        <f t="shared" si="247"/>
        <v>6.4</v>
      </c>
      <c r="V269">
        <f t="shared" si="248"/>
        <v>0</v>
      </c>
      <c r="W269">
        <f t="shared" si="249"/>
        <v>0</v>
      </c>
      <c r="X269">
        <f t="shared" si="250"/>
        <v>2376.42</v>
      </c>
      <c r="Y269">
        <f t="shared" si="250"/>
        <v>339.49</v>
      </c>
      <c r="AA269">
        <v>1407491423</v>
      </c>
      <c r="AB269">
        <f t="shared" si="251"/>
        <v>272.58</v>
      </c>
      <c r="AC269">
        <f>ROUND(((ES269*2)),6)</f>
        <v>0.78</v>
      </c>
      <c r="AD269">
        <f>ROUND(((((ET269*2))-((EU269*2)))+AE269),6)</f>
        <v>59.62</v>
      </c>
      <c r="AE269">
        <f>ROUND(((EU269*2)),6)</f>
        <v>32.340000000000003</v>
      </c>
      <c r="AF269">
        <f>ROUND(((EV269*2)),6)</f>
        <v>212.18</v>
      </c>
      <c r="AG269">
        <f t="shared" si="252"/>
        <v>0</v>
      </c>
      <c r="AH269">
        <f>((EW269*2))</f>
        <v>0.4</v>
      </c>
      <c r="AI269">
        <f>((EX269*2))</f>
        <v>0</v>
      </c>
      <c r="AJ269">
        <f t="shared" si="253"/>
        <v>0</v>
      </c>
      <c r="AK269">
        <v>136.29</v>
      </c>
      <c r="AL269">
        <v>0.39</v>
      </c>
      <c r="AM269">
        <v>29.81</v>
      </c>
      <c r="AN269">
        <v>16.170000000000002</v>
      </c>
      <c r="AO269">
        <v>106.09</v>
      </c>
      <c r="AP269">
        <v>0</v>
      </c>
      <c r="AQ269">
        <v>0.2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301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54"/>
        <v>4361.28</v>
      </c>
      <c r="CQ269">
        <f t="shared" si="255"/>
        <v>0.78</v>
      </c>
      <c r="CR269">
        <f>(((((ET269*2))*BB269-((EU269*2))*BS269)+AE269*BS269)*AV269)</f>
        <v>59.62</v>
      </c>
      <c r="CS269">
        <f t="shared" si="256"/>
        <v>32.340000000000003</v>
      </c>
      <c r="CT269">
        <f t="shared" si="257"/>
        <v>212.18</v>
      </c>
      <c r="CU269">
        <f t="shared" si="258"/>
        <v>0</v>
      </c>
      <c r="CV269">
        <f t="shared" si="259"/>
        <v>0.4</v>
      </c>
      <c r="CW269">
        <f t="shared" si="260"/>
        <v>0</v>
      </c>
      <c r="CX269">
        <f t="shared" si="260"/>
        <v>0</v>
      </c>
      <c r="CY269">
        <f t="shared" si="261"/>
        <v>2376.4160000000002</v>
      </c>
      <c r="CZ269">
        <f t="shared" si="262"/>
        <v>339.48800000000006</v>
      </c>
      <c r="DC269" t="s">
        <v>3</v>
      </c>
      <c r="DD269" t="s">
        <v>52</v>
      </c>
      <c r="DE269" t="s">
        <v>52</v>
      </c>
      <c r="DF269" t="s">
        <v>52</v>
      </c>
      <c r="DG269" t="s">
        <v>52</v>
      </c>
      <c r="DH269" t="s">
        <v>3</v>
      </c>
      <c r="DI269" t="s">
        <v>52</v>
      </c>
      <c r="DJ269" t="s">
        <v>52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42</v>
      </c>
      <c r="DW269" t="s">
        <v>42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1364533919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0</v>
      </c>
      <c r="ER269">
        <v>136.29</v>
      </c>
      <c r="ES269">
        <v>0.39</v>
      </c>
      <c r="ET269">
        <v>29.81</v>
      </c>
      <c r="EU269">
        <v>16.170000000000002</v>
      </c>
      <c r="EV269">
        <v>106.09</v>
      </c>
      <c r="EW269">
        <v>0.2</v>
      </c>
      <c r="EX269">
        <v>0</v>
      </c>
      <c r="EY269">
        <v>0</v>
      </c>
      <c r="FQ269">
        <v>0</v>
      </c>
      <c r="FR269">
        <f t="shared" si="263"/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2002034621</v>
      </c>
      <c r="GG269">
        <v>2</v>
      </c>
      <c r="GH269">
        <v>1</v>
      </c>
      <c r="GI269">
        <v>-2</v>
      </c>
      <c r="GJ269">
        <v>0</v>
      </c>
      <c r="GK269">
        <f>ROUND(R269*(R12)/100,2)</f>
        <v>558.84</v>
      </c>
      <c r="GL269">
        <f t="shared" si="264"/>
        <v>0</v>
      </c>
      <c r="GM269">
        <f t="shared" si="265"/>
        <v>7636.03</v>
      </c>
      <c r="GN269">
        <f t="shared" si="266"/>
        <v>0</v>
      </c>
      <c r="GO269">
        <f t="shared" si="267"/>
        <v>0</v>
      </c>
      <c r="GP269">
        <f t="shared" si="268"/>
        <v>7636.03</v>
      </c>
      <c r="GR269">
        <v>0</v>
      </c>
      <c r="GS269">
        <v>3</v>
      </c>
      <c r="GT269">
        <v>0</v>
      </c>
      <c r="GU269" t="s">
        <v>3</v>
      </c>
      <c r="GV269">
        <f t="shared" si="269"/>
        <v>0</v>
      </c>
      <c r="GW269">
        <v>1</v>
      </c>
      <c r="GX269">
        <f t="shared" si="270"/>
        <v>0</v>
      </c>
      <c r="HA269">
        <v>0</v>
      </c>
      <c r="HB269">
        <v>0</v>
      </c>
      <c r="HC269">
        <f t="shared" si="271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1</v>
      </c>
      <c r="D270">
        <f>ROW(EtalonRes!A157)</f>
        <v>157</v>
      </c>
      <c r="E270" t="s">
        <v>302</v>
      </c>
      <c r="F270" t="s">
        <v>54</v>
      </c>
      <c r="G270" t="s">
        <v>303</v>
      </c>
      <c r="H270" t="s">
        <v>42</v>
      </c>
      <c r="I270">
        <v>1</v>
      </c>
      <c r="J270">
        <v>0</v>
      </c>
      <c r="K270">
        <v>1</v>
      </c>
      <c r="O270">
        <f t="shared" si="241"/>
        <v>536.22</v>
      </c>
      <c r="P270">
        <f t="shared" si="242"/>
        <v>0</v>
      </c>
      <c r="Q270">
        <f t="shared" si="243"/>
        <v>178.86</v>
      </c>
      <c r="R270">
        <f t="shared" si="244"/>
        <v>97.02</v>
      </c>
      <c r="S270">
        <f t="shared" si="245"/>
        <v>357.36</v>
      </c>
      <c r="T270">
        <f t="shared" si="246"/>
        <v>0</v>
      </c>
      <c r="U270">
        <f t="shared" si="247"/>
        <v>0.74</v>
      </c>
      <c r="V270">
        <f t="shared" si="248"/>
        <v>0</v>
      </c>
      <c r="W270">
        <f t="shared" si="249"/>
        <v>0</v>
      </c>
      <c r="X270">
        <f t="shared" si="250"/>
        <v>250.15</v>
      </c>
      <c r="Y270">
        <f t="shared" si="250"/>
        <v>35.74</v>
      </c>
      <c r="AA270">
        <v>1407491423</v>
      </c>
      <c r="AB270">
        <f t="shared" si="251"/>
        <v>536.22</v>
      </c>
      <c r="AC270">
        <f>ROUND(((ES270*2)),6)</f>
        <v>0</v>
      </c>
      <c r="AD270">
        <f>ROUND(((((ET270*2))-((EU270*2)))+AE270),6)</f>
        <v>178.86</v>
      </c>
      <c r="AE270">
        <f>ROUND(((EU270*2)),6)</f>
        <v>97.02</v>
      </c>
      <c r="AF270">
        <f>ROUND(((EV270*2)),6)</f>
        <v>357.36</v>
      </c>
      <c r="AG270">
        <f t="shared" si="252"/>
        <v>0</v>
      </c>
      <c r="AH270">
        <f>((EW270*2))</f>
        <v>0.74</v>
      </c>
      <c r="AI270">
        <f>((EX270*2))</f>
        <v>0</v>
      </c>
      <c r="AJ270">
        <f t="shared" si="253"/>
        <v>0</v>
      </c>
      <c r="AK270">
        <v>268.11</v>
      </c>
      <c r="AL270">
        <v>0</v>
      </c>
      <c r="AM270">
        <v>89.43</v>
      </c>
      <c r="AN270">
        <v>48.51</v>
      </c>
      <c r="AO270">
        <v>178.68</v>
      </c>
      <c r="AP270">
        <v>0</v>
      </c>
      <c r="AQ270">
        <v>0.37</v>
      </c>
      <c r="AR270">
        <v>0</v>
      </c>
      <c r="AS270">
        <v>0</v>
      </c>
      <c r="AT270">
        <v>70</v>
      </c>
      <c r="AU270">
        <v>10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56</v>
      </c>
      <c r="BM270">
        <v>0</v>
      </c>
      <c r="BN270">
        <v>0</v>
      </c>
      <c r="BO270" t="s">
        <v>3</v>
      </c>
      <c r="BP270">
        <v>0</v>
      </c>
      <c r="BQ270">
        <v>1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10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54"/>
        <v>536.22</v>
      </c>
      <c r="CQ270">
        <f t="shared" si="255"/>
        <v>0</v>
      </c>
      <c r="CR270">
        <f>(((((ET270*2))*BB270-((EU270*2))*BS270)+AE270*BS270)*AV270)</f>
        <v>178.86</v>
      </c>
      <c r="CS270">
        <f t="shared" si="256"/>
        <v>97.02</v>
      </c>
      <c r="CT270">
        <f t="shared" si="257"/>
        <v>357.36</v>
      </c>
      <c r="CU270">
        <f t="shared" si="258"/>
        <v>0</v>
      </c>
      <c r="CV270">
        <f t="shared" si="259"/>
        <v>0.74</v>
      </c>
      <c r="CW270">
        <f t="shared" si="260"/>
        <v>0</v>
      </c>
      <c r="CX270">
        <f t="shared" si="260"/>
        <v>0</v>
      </c>
      <c r="CY270">
        <f t="shared" si="261"/>
        <v>250.15200000000002</v>
      </c>
      <c r="CZ270">
        <f t="shared" si="262"/>
        <v>35.736000000000004</v>
      </c>
      <c r="DC270" t="s">
        <v>3</v>
      </c>
      <c r="DD270" t="s">
        <v>52</v>
      </c>
      <c r="DE270" t="s">
        <v>52</v>
      </c>
      <c r="DF270" t="s">
        <v>52</v>
      </c>
      <c r="DG270" t="s">
        <v>52</v>
      </c>
      <c r="DH270" t="s">
        <v>3</v>
      </c>
      <c r="DI270" t="s">
        <v>52</v>
      </c>
      <c r="DJ270" t="s">
        <v>52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16987630</v>
      </c>
      <c r="DV270" t="s">
        <v>42</v>
      </c>
      <c r="DW270" t="s">
        <v>42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1364533919</v>
      </c>
      <c r="EF270">
        <v>1</v>
      </c>
      <c r="EG270" t="s">
        <v>21</v>
      </c>
      <c r="EH270">
        <v>0</v>
      </c>
      <c r="EI270" t="s">
        <v>3</v>
      </c>
      <c r="EJ270">
        <v>4</v>
      </c>
      <c r="EK270">
        <v>0</v>
      </c>
      <c r="EL270" t="s">
        <v>22</v>
      </c>
      <c r="EM270" t="s">
        <v>23</v>
      </c>
      <c r="EO270" t="s">
        <v>3</v>
      </c>
      <c r="EQ270">
        <v>0</v>
      </c>
      <c r="ER270">
        <v>268.11</v>
      </c>
      <c r="ES270">
        <v>0</v>
      </c>
      <c r="ET270">
        <v>89.43</v>
      </c>
      <c r="EU270">
        <v>48.51</v>
      </c>
      <c r="EV270">
        <v>178.68</v>
      </c>
      <c r="EW270">
        <v>0.37</v>
      </c>
      <c r="EX270">
        <v>0</v>
      </c>
      <c r="EY270">
        <v>0</v>
      </c>
      <c r="FQ270">
        <v>0</v>
      </c>
      <c r="FR270">
        <f t="shared" si="263"/>
        <v>0</v>
      </c>
      <c r="FS270">
        <v>0</v>
      </c>
      <c r="FX270">
        <v>70</v>
      </c>
      <c r="FY270">
        <v>10</v>
      </c>
      <c r="GA270" t="s">
        <v>3</v>
      </c>
      <c r="GD270">
        <v>0</v>
      </c>
      <c r="GF270">
        <v>602525921</v>
      </c>
      <c r="GG270">
        <v>2</v>
      </c>
      <c r="GH270">
        <v>1</v>
      </c>
      <c r="GI270">
        <v>-2</v>
      </c>
      <c r="GJ270">
        <v>0</v>
      </c>
      <c r="GK270">
        <f>ROUND(R270*(R12)/100,2)</f>
        <v>104.78</v>
      </c>
      <c r="GL270">
        <f t="shared" si="264"/>
        <v>0</v>
      </c>
      <c r="GM270">
        <f t="shared" si="265"/>
        <v>926.89</v>
      </c>
      <c r="GN270">
        <f t="shared" si="266"/>
        <v>0</v>
      </c>
      <c r="GO270">
        <f t="shared" si="267"/>
        <v>0</v>
      </c>
      <c r="GP270">
        <f t="shared" si="268"/>
        <v>926.89</v>
      </c>
      <c r="GR270">
        <v>0</v>
      </c>
      <c r="GS270">
        <v>3</v>
      </c>
      <c r="GT270">
        <v>0</v>
      </c>
      <c r="GU270" t="s">
        <v>3</v>
      </c>
      <c r="GV270">
        <f t="shared" si="269"/>
        <v>0</v>
      </c>
      <c r="GW270">
        <v>1</v>
      </c>
      <c r="GX270">
        <f t="shared" si="270"/>
        <v>0</v>
      </c>
      <c r="HA270">
        <v>0</v>
      </c>
      <c r="HB270">
        <v>0</v>
      </c>
      <c r="HC270">
        <f t="shared" si="271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D271">
        <f>ROW(EtalonRes!A158)</f>
        <v>158</v>
      </c>
      <c r="E271" t="s">
        <v>304</v>
      </c>
      <c r="F271" t="s">
        <v>305</v>
      </c>
      <c r="G271" t="s">
        <v>306</v>
      </c>
      <c r="H271" t="s">
        <v>42</v>
      </c>
      <c r="I271">
        <v>18</v>
      </c>
      <c r="J271">
        <v>0</v>
      </c>
      <c r="K271">
        <v>18</v>
      </c>
      <c r="O271">
        <f t="shared" si="241"/>
        <v>2291.7600000000002</v>
      </c>
      <c r="P271">
        <f t="shared" si="242"/>
        <v>0</v>
      </c>
      <c r="Q271">
        <f t="shared" si="243"/>
        <v>0</v>
      </c>
      <c r="R271">
        <f t="shared" si="244"/>
        <v>0</v>
      </c>
      <c r="S271">
        <f t="shared" si="245"/>
        <v>2291.7600000000002</v>
      </c>
      <c r="T271">
        <f t="shared" si="246"/>
        <v>0</v>
      </c>
      <c r="U271">
        <f t="shared" si="247"/>
        <v>4.32</v>
      </c>
      <c r="V271">
        <f t="shared" si="248"/>
        <v>0</v>
      </c>
      <c r="W271">
        <f t="shared" si="249"/>
        <v>0</v>
      </c>
      <c r="X271">
        <f t="shared" si="250"/>
        <v>1604.23</v>
      </c>
      <c r="Y271">
        <f t="shared" si="250"/>
        <v>229.18</v>
      </c>
      <c r="AA271">
        <v>1407491423</v>
      </c>
      <c r="AB271">
        <f t="shared" si="251"/>
        <v>127.32</v>
      </c>
      <c r="AC271">
        <f>ROUND(((ES271*4)),6)</f>
        <v>0</v>
      </c>
      <c r="AD271">
        <f>ROUND(((((ET271*4))-((EU271*4)))+AE271),6)</f>
        <v>0</v>
      </c>
      <c r="AE271">
        <f>ROUND(((EU271*4)),6)</f>
        <v>0</v>
      </c>
      <c r="AF271">
        <f>ROUND(((EV271*4)),6)</f>
        <v>127.32</v>
      </c>
      <c r="AG271">
        <f t="shared" si="252"/>
        <v>0</v>
      </c>
      <c r="AH271">
        <f>((EW271*4))</f>
        <v>0.24</v>
      </c>
      <c r="AI271">
        <f>((EX271*4))</f>
        <v>0</v>
      </c>
      <c r="AJ271">
        <f t="shared" si="253"/>
        <v>0</v>
      </c>
      <c r="AK271">
        <v>31.83</v>
      </c>
      <c r="AL271">
        <v>0</v>
      </c>
      <c r="AM271">
        <v>0</v>
      </c>
      <c r="AN271">
        <v>0</v>
      </c>
      <c r="AO271">
        <v>31.83</v>
      </c>
      <c r="AP271">
        <v>0</v>
      </c>
      <c r="AQ271">
        <v>0.06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307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54"/>
        <v>2291.7600000000002</v>
      </c>
      <c r="CQ271">
        <f t="shared" si="255"/>
        <v>0</v>
      </c>
      <c r="CR271">
        <f>(((((ET271*4))*BB271-((EU271*4))*BS271)+AE271*BS271)*AV271)</f>
        <v>0</v>
      </c>
      <c r="CS271">
        <f t="shared" si="256"/>
        <v>0</v>
      </c>
      <c r="CT271">
        <f t="shared" si="257"/>
        <v>127.32</v>
      </c>
      <c r="CU271">
        <f t="shared" si="258"/>
        <v>0</v>
      </c>
      <c r="CV271">
        <f t="shared" si="259"/>
        <v>0.24</v>
      </c>
      <c r="CW271">
        <f t="shared" si="260"/>
        <v>0</v>
      </c>
      <c r="CX271">
        <f t="shared" si="260"/>
        <v>0</v>
      </c>
      <c r="CY271">
        <f t="shared" si="261"/>
        <v>1604.2320000000002</v>
      </c>
      <c r="CZ271">
        <f t="shared" si="262"/>
        <v>229.17600000000002</v>
      </c>
      <c r="DC271" t="s">
        <v>3</v>
      </c>
      <c r="DD271" t="s">
        <v>20</v>
      </c>
      <c r="DE271" t="s">
        <v>20</v>
      </c>
      <c r="DF271" t="s">
        <v>20</v>
      </c>
      <c r="DG271" t="s">
        <v>20</v>
      </c>
      <c r="DH271" t="s">
        <v>3</v>
      </c>
      <c r="DI271" t="s">
        <v>20</v>
      </c>
      <c r="DJ271" t="s">
        <v>20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42</v>
      </c>
      <c r="DW271" t="s">
        <v>42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1364533919</v>
      </c>
      <c r="EF271">
        <v>1</v>
      </c>
      <c r="EG271" t="s">
        <v>21</v>
      </c>
      <c r="EH271">
        <v>0</v>
      </c>
      <c r="EI271" t="s">
        <v>3</v>
      </c>
      <c r="EJ271">
        <v>4</v>
      </c>
      <c r="EK271">
        <v>0</v>
      </c>
      <c r="EL271" t="s">
        <v>22</v>
      </c>
      <c r="EM271" t="s">
        <v>23</v>
      </c>
      <c r="EO271" t="s">
        <v>3</v>
      </c>
      <c r="EQ271">
        <v>0</v>
      </c>
      <c r="ER271">
        <v>31.83</v>
      </c>
      <c r="ES271">
        <v>0</v>
      </c>
      <c r="ET271">
        <v>0</v>
      </c>
      <c r="EU271">
        <v>0</v>
      </c>
      <c r="EV271">
        <v>31.83</v>
      </c>
      <c r="EW271">
        <v>0.06</v>
      </c>
      <c r="EX271">
        <v>0</v>
      </c>
      <c r="EY271">
        <v>0</v>
      </c>
      <c r="FQ271">
        <v>0</v>
      </c>
      <c r="FR271">
        <f t="shared" si="263"/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-1467014903</v>
      </c>
      <c r="GG271">
        <v>2</v>
      </c>
      <c r="GH271">
        <v>1</v>
      </c>
      <c r="GI271">
        <v>-2</v>
      </c>
      <c r="GJ271">
        <v>0</v>
      </c>
      <c r="GK271">
        <f>ROUND(R271*(R12)/100,2)</f>
        <v>0</v>
      </c>
      <c r="GL271">
        <f t="shared" si="264"/>
        <v>0</v>
      </c>
      <c r="GM271">
        <f t="shared" si="265"/>
        <v>4125.17</v>
      </c>
      <c r="GN271">
        <f t="shared" si="266"/>
        <v>0</v>
      </c>
      <c r="GO271">
        <f t="shared" si="267"/>
        <v>0</v>
      </c>
      <c r="GP271">
        <f t="shared" si="268"/>
        <v>4125.17</v>
      </c>
      <c r="GR271">
        <v>0</v>
      </c>
      <c r="GS271">
        <v>3</v>
      </c>
      <c r="GT271">
        <v>0</v>
      </c>
      <c r="GU271" t="s">
        <v>3</v>
      </c>
      <c r="GV271">
        <f t="shared" si="269"/>
        <v>0</v>
      </c>
      <c r="GW271">
        <v>1</v>
      </c>
      <c r="GX271">
        <f t="shared" si="270"/>
        <v>0</v>
      </c>
      <c r="HA271">
        <v>0</v>
      </c>
      <c r="HB271">
        <v>0</v>
      </c>
      <c r="HC271">
        <f t="shared" si="271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3" spans="1:206" x14ac:dyDescent="0.2">
      <c r="A273" s="2">
        <v>51</v>
      </c>
      <c r="B273" s="2">
        <f>B261</f>
        <v>1</v>
      </c>
      <c r="C273" s="2">
        <f>A261</f>
        <v>4</v>
      </c>
      <c r="D273" s="2">
        <f>ROW(A261)</f>
        <v>261</v>
      </c>
      <c r="E273" s="2"/>
      <c r="F273" s="2" t="str">
        <f>IF(F261&lt;&gt;"",F261,"")</f>
        <v>Новый раздел</v>
      </c>
      <c r="G273" s="2" t="str">
        <f>IF(G261&lt;&gt;"",G261,"")</f>
        <v>Теплоснабжение</v>
      </c>
      <c r="H273" s="2">
        <v>0</v>
      </c>
      <c r="I273" s="2"/>
      <c r="J273" s="2"/>
      <c r="K273" s="2"/>
      <c r="L273" s="2"/>
      <c r="M273" s="2"/>
      <c r="N273" s="2"/>
      <c r="O273" s="2">
        <f t="shared" ref="O273:T273" si="272">ROUND(AB273,2)</f>
        <v>8357.23</v>
      </c>
      <c r="P273" s="2">
        <f t="shared" si="272"/>
        <v>12.53</v>
      </c>
      <c r="Q273" s="2">
        <f t="shared" si="272"/>
        <v>1490.5</v>
      </c>
      <c r="R273" s="2">
        <f t="shared" si="272"/>
        <v>808.5</v>
      </c>
      <c r="S273" s="2">
        <f t="shared" si="272"/>
        <v>6854.2</v>
      </c>
      <c r="T273" s="2">
        <f t="shared" si="272"/>
        <v>0</v>
      </c>
      <c r="U273" s="2">
        <f>AH273</f>
        <v>13.120000000000001</v>
      </c>
      <c r="V273" s="2">
        <f>AI273</f>
        <v>0</v>
      </c>
      <c r="W273" s="2">
        <f>ROUND(AJ273,2)</f>
        <v>0</v>
      </c>
      <c r="X273" s="2">
        <f>ROUND(AK273,2)</f>
        <v>4797.9399999999996</v>
      </c>
      <c r="Y273" s="2">
        <f>ROUND(AL273,2)</f>
        <v>685.43</v>
      </c>
      <c r="Z273" s="2"/>
      <c r="AA273" s="2"/>
      <c r="AB273" s="2">
        <f>ROUND(SUMIF(AA265:AA271,"=1407491423",O265:O271),2)</f>
        <v>8357.23</v>
      </c>
      <c r="AC273" s="2">
        <f>ROUND(SUMIF(AA265:AA271,"=1407491423",P265:P271),2)</f>
        <v>12.53</v>
      </c>
      <c r="AD273" s="2">
        <f>ROUND(SUMIF(AA265:AA271,"=1407491423",Q265:Q271),2)</f>
        <v>1490.5</v>
      </c>
      <c r="AE273" s="2">
        <f>ROUND(SUMIF(AA265:AA271,"=1407491423",R265:R271),2)</f>
        <v>808.5</v>
      </c>
      <c r="AF273" s="2">
        <f>ROUND(SUMIF(AA265:AA271,"=1407491423",S265:S271),2)</f>
        <v>6854.2</v>
      </c>
      <c r="AG273" s="2">
        <f>ROUND(SUMIF(AA265:AA271,"=1407491423",T265:T271),2)</f>
        <v>0</v>
      </c>
      <c r="AH273" s="2">
        <f>SUMIF(AA265:AA271,"=1407491423",U265:U271)</f>
        <v>13.120000000000001</v>
      </c>
      <c r="AI273" s="2">
        <f>SUMIF(AA265:AA271,"=1407491423",V265:V271)</f>
        <v>0</v>
      </c>
      <c r="AJ273" s="2">
        <f>ROUND(SUMIF(AA265:AA271,"=1407491423",W265:W271),2)</f>
        <v>0</v>
      </c>
      <c r="AK273" s="2">
        <f>ROUND(SUMIF(AA265:AA271,"=1407491423",X265:X271),2)</f>
        <v>4797.9399999999996</v>
      </c>
      <c r="AL273" s="2">
        <f>ROUND(SUMIF(AA265:AA271,"=1407491423",Y265:Y271),2)</f>
        <v>685.43</v>
      </c>
      <c r="AM273" s="2"/>
      <c r="AN273" s="2"/>
      <c r="AO273" s="2">
        <f t="shared" ref="AO273:BD273" si="273">ROUND(BX273,2)</f>
        <v>0</v>
      </c>
      <c r="AP273" s="2">
        <f t="shared" si="273"/>
        <v>0</v>
      </c>
      <c r="AQ273" s="2">
        <f t="shared" si="273"/>
        <v>0</v>
      </c>
      <c r="AR273" s="2">
        <f t="shared" si="273"/>
        <v>14713.78</v>
      </c>
      <c r="AS273" s="2">
        <f t="shared" si="273"/>
        <v>0</v>
      </c>
      <c r="AT273" s="2">
        <f t="shared" si="273"/>
        <v>0</v>
      </c>
      <c r="AU273" s="2">
        <f t="shared" si="273"/>
        <v>14713.78</v>
      </c>
      <c r="AV273" s="2">
        <f t="shared" si="273"/>
        <v>12.53</v>
      </c>
      <c r="AW273" s="2">
        <f t="shared" si="273"/>
        <v>12.53</v>
      </c>
      <c r="AX273" s="2">
        <f t="shared" si="273"/>
        <v>0</v>
      </c>
      <c r="AY273" s="2">
        <f t="shared" si="273"/>
        <v>12.53</v>
      </c>
      <c r="AZ273" s="2">
        <f t="shared" si="273"/>
        <v>0</v>
      </c>
      <c r="BA273" s="2">
        <f t="shared" si="273"/>
        <v>0</v>
      </c>
      <c r="BB273" s="2">
        <f t="shared" si="273"/>
        <v>0</v>
      </c>
      <c r="BC273" s="2">
        <f t="shared" si="273"/>
        <v>0</v>
      </c>
      <c r="BD273" s="2">
        <f t="shared" si="273"/>
        <v>0</v>
      </c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>
        <f>ROUND(SUMIF(AA265:AA271,"=1407491423",FQ265:FQ271),2)</f>
        <v>0</v>
      </c>
      <c r="BY273" s="2">
        <f>ROUND(SUMIF(AA265:AA271,"=1407491423",FR265:FR271),2)</f>
        <v>0</v>
      </c>
      <c r="BZ273" s="2">
        <f>ROUND(SUMIF(AA265:AA271,"=1407491423",GL265:GL271),2)</f>
        <v>0</v>
      </c>
      <c r="CA273" s="2">
        <f>ROUND(SUMIF(AA265:AA271,"=1407491423",GM265:GM271),2)</f>
        <v>14713.78</v>
      </c>
      <c r="CB273" s="2">
        <f>ROUND(SUMIF(AA265:AA271,"=1407491423",GN265:GN271),2)</f>
        <v>0</v>
      </c>
      <c r="CC273" s="2">
        <f>ROUND(SUMIF(AA265:AA271,"=1407491423",GO265:GO271),2)</f>
        <v>0</v>
      </c>
      <c r="CD273" s="2">
        <f>ROUND(SUMIF(AA265:AA271,"=1407491423",GP265:GP271),2)</f>
        <v>14713.78</v>
      </c>
      <c r="CE273" s="2">
        <f>AC273-BX273</f>
        <v>12.53</v>
      </c>
      <c r="CF273" s="2">
        <f>AC273-BY273</f>
        <v>12.53</v>
      </c>
      <c r="CG273" s="2">
        <f>BX273-BZ273</f>
        <v>0</v>
      </c>
      <c r="CH273" s="2">
        <f>AC273-BX273-BY273+BZ273</f>
        <v>12.53</v>
      </c>
      <c r="CI273" s="2">
        <f>BY273-BZ273</f>
        <v>0</v>
      </c>
      <c r="CJ273" s="2">
        <f>ROUND(SUMIF(AA265:AA271,"=1407491423",GX265:GX271),2)</f>
        <v>0</v>
      </c>
      <c r="CK273" s="2">
        <f>ROUND(SUMIF(AA265:AA271,"=1407491423",GY265:GY271),2)</f>
        <v>0</v>
      </c>
      <c r="CL273" s="2">
        <f>ROUND(SUMIF(AA265:AA271,"=1407491423",GZ265:GZ271),2)</f>
        <v>0</v>
      </c>
      <c r="CM273" s="2">
        <f>ROUND(SUMIF(AA265:AA271,"=1407491423",HD265:HD271),2)</f>
        <v>0</v>
      </c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  <c r="GU273" s="3"/>
      <c r="GV273" s="3"/>
      <c r="GW273" s="3"/>
      <c r="GX273" s="3">
        <v>0</v>
      </c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201</v>
      </c>
      <c r="F275" s="4">
        <f>ROUND(Source!O273,O275)</f>
        <v>8357.23</v>
      </c>
      <c r="G275" s="4" t="s">
        <v>74</v>
      </c>
      <c r="H275" s="4" t="s">
        <v>75</v>
      </c>
      <c r="I275" s="4"/>
      <c r="J275" s="4"/>
      <c r="K275" s="4">
        <v>201</v>
      </c>
      <c r="L275" s="4">
        <v>1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8357.23</v>
      </c>
      <c r="X275" s="4">
        <v>1</v>
      </c>
      <c r="Y275" s="4">
        <v>8357.23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202</v>
      </c>
      <c r="F276" s="4">
        <f>ROUND(Source!P273,O276)</f>
        <v>12.53</v>
      </c>
      <c r="G276" s="4" t="s">
        <v>76</v>
      </c>
      <c r="H276" s="4" t="s">
        <v>77</v>
      </c>
      <c r="I276" s="4"/>
      <c r="J276" s="4"/>
      <c r="K276" s="4">
        <v>202</v>
      </c>
      <c r="L276" s="4">
        <v>2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12.53</v>
      </c>
      <c r="X276" s="4">
        <v>1</v>
      </c>
      <c r="Y276" s="4">
        <v>12.53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222</v>
      </c>
      <c r="F277" s="4">
        <f>ROUND(Source!AO273,O277)</f>
        <v>0</v>
      </c>
      <c r="G277" s="4" t="s">
        <v>78</v>
      </c>
      <c r="H277" s="4" t="s">
        <v>79</v>
      </c>
      <c r="I277" s="4"/>
      <c r="J277" s="4"/>
      <c r="K277" s="4">
        <v>222</v>
      </c>
      <c r="L277" s="4">
        <v>3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225</v>
      </c>
      <c r="F278" s="4">
        <f>ROUND(Source!AV273,O278)</f>
        <v>12.53</v>
      </c>
      <c r="G278" s="4" t="s">
        <v>80</v>
      </c>
      <c r="H278" s="4" t="s">
        <v>81</v>
      </c>
      <c r="I278" s="4"/>
      <c r="J278" s="4"/>
      <c r="K278" s="4">
        <v>225</v>
      </c>
      <c r="L278" s="4">
        <v>4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12.53</v>
      </c>
      <c r="X278" s="4">
        <v>1</v>
      </c>
      <c r="Y278" s="4">
        <v>12.53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226</v>
      </c>
      <c r="F279" s="4">
        <f>ROUND(Source!AW273,O279)</f>
        <v>12.53</v>
      </c>
      <c r="G279" s="4" t="s">
        <v>82</v>
      </c>
      <c r="H279" s="4" t="s">
        <v>83</v>
      </c>
      <c r="I279" s="4"/>
      <c r="J279" s="4"/>
      <c r="K279" s="4">
        <v>226</v>
      </c>
      <c r="L279" s="4">
        <v>5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12.53</v>
      </c>
      <c r="X279" s="4">
        <v>1</v>
      </c>
      <c r="Y279" s="4">
        <v>12.53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227</v>
      </c>
      <c r="F280" s="4">
        <f>ROUND(Source!AX273,O280)</f>
        <v>0</v>
      </c>
      <c r="G280" s="4" t="s">
        <v>84</v>
      </c>
      <c r="H280" s="4" t="s">
        <v>85</v>
      </c>
      <c r="I280" s="4"/>
      <c r="J280" s="4"/>
      <c r="K280" s="4">
        <v>227</v>
      </c>
      <c r="L280" s="4">
        <v>6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228</v>
      </c>
      <c r="F281" s="4">
        <f>ROUND(Source!AY273,O281)</f>
        <v>12.53</v>
      </c>
      <c r="G281" s="4" t="s">
        <v>86</v>
      </c>
      <c r="H281" s="4" t="s">
        <v>87</v>
      </c>
      <c r="I281" s="4"/>
      <c r="J281" s="4"/>
      <c r="K281" s="4">
        <v>228</v>
      </c>
      <c r="L281" s="4">
        <v>7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12.53</v>
      </c>
      <c r="X281" s="4">
        <v>1</v>
      </c>
      <c r="Y281" s="4">
        <v>12.53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216</v>
      </c>
      <c r="F282" s="4">
        <f>ROUND(Source!AP273,O282)</f>
        <v>0</v>
      </c>
      <c r="G282" s="4" t="s">
        <v>88</v>
      </c>
      <c r="H282" s="4" t="s">
        <v>89</v>
      </c>
      <c r="I282" s="4"/>
      <c r="J282" s="4"/>
      <c r="K282" s="4">
        <v>216</v>
      </c>
      <c r="L282" s="4">
        <v>8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223</v>
      </c>
      <c r="F283" s="4">
        <f>ROUND(Source!AQ273,O283)</f>
        <v>0</v>
      </c>
      <c r="G283" s="4" t="s">
        <v>90</v>
      </c>
      <c r="H283" s="4" t="s">
        <v>91</v>
      </c>
      <c r="I283" s="4"/>
      <c r="J283" s="4"/>
      <c r="K283" s="4">
        <v>223</v>
      </c>
      <c r="L283" s="4">
        <v>9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229</v>
      </c>
      <c r="F284" s="4">
        <f>ROUND(Source!AZ273,O284)</f>
        <v>0</v>
      </c>
      <c r="G284" s="4" t="s">
        <v>92</v>
      </c>
      <c r="H284" s="4" t="s">
        <v>93</v>
      </c>
      <c r="I284" s="4"/>
      <c r="J284" s="4"/>
      <c r="K284" s="4">
        <v>229</v>
      </c>
      <c r="L284" s="4">
        <v>10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203</v>
      </c>
      <c r="F285" s="4">
        <f>ROUND(Source!Q273,O285)</f>
        <v>1490.5</v>
      </c>
      <c r="G285" s="4" t="s">
        <v>94</v>
      </c>
      <c r="H285" s="4" t="s">
        <v>95</v>
      </c>
      <c r="I285" s="4"/>
      <c r="J285" s="4"/>
      <c r="K285" s="4">
        <v>203</v>
      </c>
      <c r="L285" s="4">
        <v>11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1490.5</v>
      </c>
      <c r="X285" s="4">
        <v>1</v>
      </c>
      <c r="Y285" s="4">
        <v>1490.5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231</v>
      </c>
      <c r="F286" s="4">
        <f>ROUND(Source!BB273,O286)</f>
        <v>0</v>
      </c>
      <c r="G286" s="4" t="s">
        <v>96</v>
      </c>
      <c r="H286" s="4" t="s">
        <v>97</v>
      </c>
      <c r="I286" s="4"/>
      <c r="J286" s="4"/>
      <c r="K286" s="4">
        <v>231</v>
      </c>
      <c r="L286" s="4">
        <v>12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204</v>
      </c>
      <c r="F287" s="4">
        <f>ROUND(Source!R273,O287)</f>
        <v>808.5</v>
      </c>
      <c r="G287" s="4" t="s">
        <v>98</v>
      </c>
      <c r="H287" s="4" t="s">
        <v>99</v>
      </c>
      <c r="I287" s="4"/>
      <c r="J287" s="4"/>
      <c r="K287" s="4">
        <v>204</v>
      </c>
      <c r="L287" s="4">
        <v>13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808.5</v>
      </c>
      <c r="X287" s="4">
        <v>1</v>
      </c>
      <c r="Y287" s="4">
        <v>808.5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205</v>
      </c>
      <c r="F288" s="4">
        <f>ROUND(Source!S273,O288)</f>
        <v>6854.2</v>
      </c>
      <c r="G288" s="4" t="s">
        <v>100</v>
      </c>
      <c r="H288" s="4" t="s">
        <v>101</v>
      </c>
      <c r="I288" s="4"/>
      <c r="J288" s="4"/>
      <c r="K288" s="4">
        <v>205</v>
      </c>
      <c r="L288" s="4">
        <v>14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6854.2</v>
      </c>
      <c r="X288" s="4">
        <v>1</v>
      </c>
      <c r="Y288" s="4">
        <v>6854.2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232</v>
      </c>
      <c r="F289" s="4">
        <f>ROUND(Source!BC273,O289)</f>
        <v>0</v>
      </c>
      <c r="G289" s="4" t="s">
        <v>102</v>
      </c>
      <c r="H289" s="4" t="s">
        <v>103</v>
      </c>
      <c r="I289" s="4"/>
      <c r="J289" s="4"/>
      <c r="K289" s="4">
        <v>232</v>
      </c>
      <c r="L289" s="4">
        <v>15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214</v>
      </c>
      <c r="F290" s="4">
        <f>ROUND(Source!AS273,O290)</f>
        <v>0</v>
      </c>
      <c r="G290" s="4" t="s">
        <v>104</v>
      </c>
      <c r="H290" s="4" t="s">
        <v>105</v>
      </c>
      <c r="I290" s="4"/>
      <c r="J290" s="4"/>
      <c r="K290" s="4">
        <v>214</v>
      </c>
      <c r="L290" s="4">
        <v>16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215</v>
      </c>
      <c r="F291" s="4">
        <f>ROUND(Source!AT273,O291)</f>
        <v>0</v>
      </c>
      <c r="G291" s="4" t="s">
        <v>106</v>
      </c>
      <c r="H291" s="4" t="s">
        <v>107</v>
      </c>
      <c r="I291" s="4"/>
      <c r="J291" s="4"/>
      <c r="K291" s="4">
        <v>215</v>
      </c>
      <c r="L291" s="4">
        <v>17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217</v>
      </c>
      <c r="F292" s="4">
        <f>ROUND(Source!AU273,O292)</f>
        <v>14713.78</v>
      </c>
      <c r="G292" s="4" t="s">
        <v>108</v>
      </c>
      <c r="H292" s="4" t="s">
        <v>109</v>
      </c>
      <c r="I292" s="4"/>
      <c r="J292" s="4"/>
      <c r="K292" s="4">
        <v>217</v>
      </c>
      <c r="L292" s="4">
        <v>18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14713.78</v>
      </c>
      <c r="X292" s="4">
        <v>1</v>
      </c>
      <c r="Y292" s="4">
        <v>14713.78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230</v>
      </c>
      <c r="F293" s="4">
        <f>ROUND(Source!BA273,O293)</f>
        <v>0</v>
      </c>
      <c r="G293" s="4" t="s">
        <v>110</v>
      </c>
      <c r="H293" s="4" t="s">
        <v>111</v>
      </c>
      <c r="I293" s="4"/>
      <c r="J293" s="4"/>
      <c r="K293" s="4">
        <v>230</v>
      </c>
      <c r="L293" s="4">
        <v>19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206</v>
      </c>
      <c r="F294" s="4">
        <f>ROUND(Source!T273,O294)</f>
        <v>0</v>
      </c>
      <c r="G294" s="4" t="s">
        <v>112</v>
      </c>
      <c r="H294" s="4" t="s">
        <v>113</v>
      </c>
      <c r="I294" s="4"/>
      <c r="J294" s="4"/>
      <c r="K294" s="4">
        <v>206</v>
      </c>
      <c r="L294" s="4">
        <v>20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207</v>
      </c>
      <c r="F295" s="4">
        <f>Source!U273</f>
        <v>13.120000000000001</v>
      </c>
      <c r="G295" s="4" t="s">
        <v>114</v>
      </c>
      <c r="H295" s="4" t="s">
        <v>115</v>
      </c>
      <c r="I295" s="4"/>
      <c r="J295" s="4"/>
      <c r="K295" s="4">
        <v>207</v>
      </c>
      <c r="L295" s="4">
        <v>21</v>
      </c>
      <c r="M295" s="4">
        <v>3</v>
      </c>
      <c r="N295" s="4" t="s">
        <v>3</v>
      </c>
      <c r="O295" s="4">
        <v>-1</v>
      </c>
      <c r="P295" s="4"/>
      <c r="Q295" s="4"/>
      <c r="R295" s="4"/>
      <c r="S295" s="4"/>
      <c r="T295" s="4"/>
      <c r="U295" s="4"/>
      <c r="V295" s="4"/>
      <c r="W295" s="4">
        <v>13.120000000000001</v>
      </c>
      <c r="X295" s="4">
        <v>1</v>
      </c>
      <c r="Y295" s="4">
        <v>13.120000000000001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208</v>
      </c>
      <c r="F296" s="4">
        <f>Source!V273</f>
        <v>0</v>
      </c>
      <c r="G296" s="4" t="s">
        <v>116</v>
      </c>
      <c r="H296" s="4" t="s">
        <v>117</v>
      </c>
      <c r="I296" s="4"/>
      <c r="J296" s="4"/>
      <c r="K296" s="4">
        <v>208</v>
      </c>
      <c r="L296" s="4">
        <v>22</v>
      </c>
      <c r="M296" s="4">
        <v>3</v>
      </c>
      <c r="N296" s="4" t="s">
        <v>3</v>
      </c>
      <c r="O296" s="4">
        <v>-1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209</v>
      </c>
      <c r="F297" s="4">
        <f>ROUND(Source!W273,O297)</f>
        <v>0</v>
      </c>
      <c r="G297" s="4" t="s">
        <v>118</v>
      </c>
      <c r="H297" s="4" t="s">
        <v>119</v>
      </c>
      <c r="I297" s="4"/>
      <c r="J297" s="4"/>
      <c r="K297" s="4">
        <v>209</v>
      </c>
      <c r="L297" s="4">
        <v>23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233</v>
      </c>
      <c r="F298" s="4">
        <f>ROUND(Source!BD273,O298)</f>
        <v>0</v>
      </c>
      <c r="G298" s="4" t="s">
        <v>120</v>
      </c>
      <c r="H298" s="4" t="s">
        <v>121</v>
      </c>
      <c r="I298" s="4"/>
      <c r="J298" s="4"/>
      <c r="K298" s="4">
        <v>233</v>
      </c>
      <c r="L298" s="4">
        <v>24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210</v>
      </c>
      <c r="F299" s="4">
        <f>ROUND(Source!X273,O299)</f>
        <v>4797.9399999999996</v>
      </c>
      <c r="G299" s="4" t="s">
        <v>122</v>
      </c>
      <c r="H299" s="4" t="s">
        <v>123</v>
      </c>
      <c r="I299" s="4"/>
      <c r="J299" s="4"/>
      <c r="K299" s="4">
        <v>210</v>
      </c>
      <c r="L299" s="4">
        <v>25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4797.9399999999996</v>
      </c>
      <c r="X299" s="4">
        <v>1</v>
      </c>
      <c r="Y299" s="4">
        <v>4797.9399999999996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211</v>
      </c>
      <c r="F300" s="4">
        <f>ROUND(Source!Y273,O300)</f>
        <v>685.43</v>
      </c>
      <c r="G300" s="4" t="s">
        <v>124</v>
      </c>
      <c r="H300" s="4" t="s">
        <v>125</v>
      </c>
      <c r="I300" s="4"/>
      <c r="J300" s="4"/>
      <c r="K300" s="4">
        <v>211</v>
      </c>
      <c r="L300" s="4">
        <v>26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685.43</v>
      </c>
      <c r="X300" s="4">
        <v>1</v>
      </c>
      <c r="Y300" s="4">
        <v>685.43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224</v>
      </c>
      <c r="F301" s="4">
        <f>ROUND(Source!AR273,O301)</f>
        <v>14713.78</v>
      </c>
      <c r="G301" s="4" t="s">
        <v>126</v>
      </c>
      <c r="H301" s="4" t="s">
        <v>127</v>
      </c>
      <c r="I301" s="4"/>
      <c r="J301" s="4"/>
      <c r="K301" s="4">
        <v>224</v>
      </c>
      <c r="L301" s="4">
        <v>27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14713.78</v>
      </c>
      <c r="X301" s="4">
        <v>1</v>
      </c>
      <c r="Y301" s="4">
        <v>14713.78</v>
      </c>
      <c r="Z301" s="4"/>
      <c r="AA301" s="4"/>
      <c r="AB301" s="4"/>
    </row>
    <row r="303" spans="1:206" x14ac:dyDescent="0.2">
      <c r="A303" s="2">
        <v>51</v>
      </c>
      <c r="B303" s="2">
        <f>B20</f>
        <v>1</v>
      </c>
      <c r="C303" s="2">
        <f>A20</f>
        <v>3</v>
      </c>
      <c r="D303" s="2">
        <f>ROW(A20)</f>
        <v>20</v>
      </c>
      <c r="E303" s="2"/>
      <c r="F303" s="2" t="str">
        <f>IF(F20&lt;&gt;"",F20,"")</f>
        <v/>
      </c>
      <c r="G303" s="2" t="str">
        <f>IF(G20&lt;&gt;"",G20,"")</f>
        <v>Новая локальная смета</v>
      </c>
      <c r="H303" s="2">
        <v>0</v>
      </c>
      <c r="I303" s="2"/>
      <c r="J303" s="2"/>
      <c r="K303" s="2"/>
      <c r="L303" s="2"/>
      <c r="M303" s="2"/>
      <c r="N303" s="2"/>
      <c r="O303" s="2">
        <f t="shared" ref="O303:T303" si="274">ROUND(O43+O87+O136+O177+O231+O273+AB303,2)</f>
        <v>664349.93999999994</v>
      </c>
      <c r="P303" s="2">
        <f t="shared" si="274"/>
        <v>12475.17</v>
      </c>
      <c r="Q303" s="2">
        <f t="shared" si="274"/>
        <v>43471.69</v>
      </c>
      <c r="R303" s="2">
        <f t="shared" si="274"/>
        <v>23565.42</v>
      </c>
      <c r="S303" s="2">
        <f t="shared" si="274"/>
        <v>608403.07999999996</v>
      </c>
      <c r="T303" s="2">
        <f t="shared" si="274"/>
        <v>0</v>
      </c>
      <c r="U303" s="2">
        <f>U43+U87+U136+U177+U231+U273+AH303</f>
        <v>1219.2289599999999</v>
      </c>
      <c r="V303" s="2">
        <f>V43+V87+V136+V177+V231+V273+AI303</f>
        <v>0</v>
      </c>
      <c r="W303" s="2">
        <f>ROUND(W43+W87+W136+W177+W231+W273+AJ303,2)</f>
        <v>0</v>
      </c>
      <c r="X303" s="2">
        <f>ROUND(X43+X87+X136+X177+X231+X273+AK303,2)</f>
        <v>425882.18</v>
      </c>
      <c r="Y303" s="2">
        <f>ROUND(Y43+Y87+Y136+Y177+Y231+Y273+AL303,2)</f>
        <v>60840.34</v>
      </c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>
        <f t="shared" ref="AO303:BD303" si="275">ROUND(AO43+AO87+AO136+AO177+AO231+AO273+BX303,2)</f>
        <v>0</v>
      </c>
      <c r="AP303" s="2">
        <f t="shared" si="275"/>
        <v>0</v>
      </c>
      <c r="AQ303" s="2">
        <f t="shared" si="275"/>
        <v>0</v>
      </c>
      <c r="AR303" s="2">
        <f t="shared" si="275"/>
        <v>1176523.1100000001</v>
      </c>
      <c r="AS303" s="2">
        <f t="shared" si="275"/>
        <v>0</v>
      </c>
      <c r="AT303" s="2">
        <f t="shared" si="275"/>
        <v>0</v>
      </c>
      <c r="AU303" s="2">
        <f t="shared" si="275"/>
        <v>1176523.1100000001</v>
      </c>
      <c r="AV303" s="2">
        <f t="shared" si="275"/>
        <v>12475.17</v>
      </c>
      <c r="AW303" s="2">
        <f t="shared" si="275"/>
        <v>12475.17</v>
      </c>
      <c r="AX303" s="2">
        <f t="shared" si="275"/>
        <v>0</v>
      </c>
      <c r="AY303" s="2">
        <f t="shared" si="275"/>
        <v>12475.17</v>
      </c>
      <c r="AZ303" s="2">
        <f t="shared" si="275"/>
        <v>0</v>
      </c>
      <c r="BA303" s="2">
        <f t="shared" si="275"/>
        <v>0</v>
      </c>
      <c r="BB303" s="2">
        <f t="shared" si="275"/>
        <v>0</v>
      </c>
      <c r="BC303" s="2">
        <f t="shared" si="275"/>
        <v>0</v>
      </c>
      <c r="BD303" s="2">
        <f t="shared" si="275"/>
        <v>0</v>
      </c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  <c r="GU303" s="3"/>
      <c r="GV303" s="3"/>
      <c r="GW303" s="3"/>
      <c r="GX303" s="3">
        <v>0</v>
      </c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201</v>
      </c>
      <c r="F305" s="4">
        <f>ROUND(Source!O303,O305)</f>
        <v>664349.93999999994</v>
      </c>
      <c r="G305" s="4" t="s">
        <v>74</v>
      </c>
      <c r="H305" s="4" t="s">
        <v>75</v>
      </c>
      <c r="I305" s="4"/>
      <c r="J305" s="4"/>
      <c r="K305" s="4">
        <v>201</v>
      </c>
      <c r="L305" s="4">
        <v>1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664349.93999999994</v>
      </c>
      <c r="X305" s="4">
        <v>1</v>
      </c>
      <c r="Y305" s="4">
        <v>664349.93999999994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202</v>
      </c>
      <c r="F306" s="4">
        <f>ROUND(Source!P303,O306)</f>
        <v>12475.17</v>
      </c>
      <c r="G306" s="4" t="s">
        <v>76</v>
      </c>
      <c r="H306" s="4" t="s">
        <v>77</v>
      </c>
      <c r="I306" s="4"/>
      <c r="J306" s="4"/>
      <c r="K306" s="4">
        <v>202</v>
      </c>
      <c r="L306" s="4">
        <v>2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12475.17</v>
      </c>
      <c r="X306" s="4">
        <v>1</v>
      </c>
      <c r="Y306" s="4">
        <v>12475.17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222</v>
      </c>
      <c r="F307" s="4">
        <f>ROUND(Source!AO303,O307)</f>
        <v>0</v>
      </c>
      <c r="G307" s="4" t="s">
        <v>78</v>
      </c>
      <c r="H307" s="4" t="s">
        <v>79</v>
      </c>
      <c r="I307" s="4"/>
      <c r="J307" s="4"/>
      <c r="K307" s="4">
        <v>222</v>
      </c>
      <c r="L307" s="4">
        <v>3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225</v>
      </c>
      <c r="F308" s="4">
        <f>ROUND(Source!AV303,O308)</f>
        <v>12475.17</v>
      </c>
      <c r="G308" s="4" t="s">
        <v>80</v>
      </c>
      <c r="H308" s="4" t="s">
        <v>81</v>
      </c>
      <c r="I308" s="4"/>
      <c r="J308" s="4"/>
      <c r="K308" s="4">
        <v>225</v>
      </c>
      <c r="L308" s="4">
        <v>4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12475.17</v>
      </c>
      <c r="X308" s="4">
        <v>1</v>
      </c>
      <c r="Y308" s="4">
        <v>12475.17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226</v>
      </c>
      <c r="F309" s="4">
        <f>ROUND(Source!AW303,O309)</f>
        <v>12475.17</v>
      </c>
      <c r="G309" s="4" t="s">
        <v>82</v>
      </c>
      <c r="H309" s="4" t="s">
        <v>83</v>
      </c>
      <c r="I309" s="4"/>
      <c r="J309" s="4"/>
      <c r="K309" s="4">
        <v>226</v>
      </c>
      <c r="L309" s="4">
        <v>5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12475.17</v>
      </c>
      <c r="X309" s="4">
        <v>1</v>
      </c>
      <c r="Y309" s="4">
        <v>12475.17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227</v>
      </c>
      <c r="F310" s="4">
        <f>ROUND(Source!AX303,O310)</f>
        <v>0</v>
      </c>
      <c r="G310" s="4" t="s">
        <v>84</v>
      </c>
      <c r="H310" s="4" t="s">
        <v>85</v>
      </c>
      <c r="I310" s="4"/>
      <c r="J310" s="4"/>
      <c r="K310" s="4">
        <v>227</v>
      </c>
      <c r="L310" s="4">
        <v>6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228</v>
      </c>
      <c r="F311" s="4">
        <f>ROUND(Source!AY303,O311)</f>
        <v>12475.17</v>
      </c>
      <c r="G311" s="4" t="s">
        <v>86</v>
      </c>
      <c r="H311" s="4" t="s">
        <v>87</v>
      </c>
      <c r="I311" s="4"/>
      <c r="J311" s="4"/>
      <c r="K311" s="4">
        <v>228</v>
      </c>
      <c r="L311" s="4">
        <v>7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12475.17</v>
      </c>
      <c r="X311" s="4">
        <v>1</v>
      </c>
      <c r="Y311" s="4">
        <v>12475.17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216</v>
      </c>
      <c r="F312" s="4">
        <f>ROUND(Source!AP303,O312)</f>
        <v>0</v>
      </c>
      <c r="G312" s="4" t="s">
        <v>88</v>
      </c>
      <c r="H312" s="4" t="s">
        <v>89</v>
      </c>
      <c r="I312" s="4"/>
      <c r="J312" s="4"/>
      <c r="K312" s="4">
        <v>216</v>
      </c>
      <c r="L312" s="4">
        <v>8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223</v>
      </c>
      <c r="F313" s="4">
        <f>ROUND(Source!AQ303,O313)</f>
        <v>0</v>
      </c>
      <c r="G313" s="4" t="s">
        <v>90</v>
      </c>
      <c r="H313" s="4" t="s">
        <v>91</v>
      </c>
      <c r="I313" s="4"/>
      <c r="J313" s="4"/>
      <c r="K313" s="4">
        <v>223</v>
      </c>
      <c r="L313" s="4">
        <v>9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229</v>
      </c>
      <c r="F314" s="4">
        <f>ROUND(Source!AZ303,O314)</f>
        <v>0</v>
      </c>
      <c r="G314" s="4" t="s">
        <v>92</v>
      </c>
      <c r="H314" s="4" t="s">
        <v>93</v>
      </c>
      <c r="I314" s="4"/>
      <c r="J314" s="4"/>
      <c r="K314" s="4">
        <v>229</v>
      </c>
      <c r="L314" s="4">
        <v>10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203</v>
      </c>
      <c r="F315" s="4">
        <f>ROUND(Source!Q303,O315)</f>
        <v>43471.69</v>
      </c>
      <c r="G315" s="4" t="s">
        <v>94</v>
      </c>
      <c r="H315" s="4" t="s">
        <v>95</v>
      </c>
      <c r="I315" s="4"/>
      <c r="J315" s="4"/>
      <c r="K315" s="4">
        <v>203</v>
      </c>
      <c r="L315" s="4">
        <v>11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43471.69</v>
      </c>
      <c r="X315" s="4">
        <v>1</v>
      </c>
      <c r="Y315" s="4">
        <v>43471.69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231</v>
      </c>
      <c r="F316" s="4">
        <f>ROUND(Source!BB303,O316)</f>
        <v>0</v>
      </c>
      <c r="G316" s="4" t="s">
        <v>96</v>
      </c>
      <c r="H316" s="4" t="s">
        <v>97</v>
      </c>
      <c r="I316" s="4"/>
      <c r="J316" s="4"/>
      <c r="K316" s="4">
        <v>231</v>
      </c>
      <c r="L316" s="4">
        <v>12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204</v>
      </c>
      <c r="F317" s="4">
        <f>ROUND(Source!R303,O317)</f>
        <v>23565.42</v>
      </c>
      <c r="G317" s="4" t="s">
        <v>98</v>
      </c>
      <c r="H317" s="4" t="s">
        <v>99</v>
      </c>
      <c r="I317" s="4"/>
      <c r="J317" s="4"/>
      <c r="K317" s="4">
        <v>204</v>
      </c>
      <c r="L317" s="4">
        <v>13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23565.42</v>
      </c>
      <c r="X317" s="4">
        <v>1</v>
      </c>
      <c r="Y317" s="4">
        <v>23565.42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205</v>
      </c>
      <c r="F318" s="4">
        <f>ROUND(Source!S303,O318)</f>
        <v>608403.07999999996</v>
      </c>
      <c r="G318" s="4" t="s">
        <v>100</v>
      </c>
      <c r="H318" s="4" t="s">
        <v>101</v>
      </c>
      <c r="I318" s="4"/>
      <c r="J318" s="4"/>
      <c r="K318" s="4">
        <v>205</v>
      </c>
      <c r="L318" s="4">
        <v>14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608403.07999999996</v>
      </c>
      <c r="X318" s="4">
        <v>1</v>
      </c>
      <c r="Y318" s="4">
        <v>608403.07999999996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232</v>
      </c>
      <c r="F319" s="4">
        <f>ROUND(Source!BC303,O319)</f>
        <v>0</v>
      </c>
      <c r="G319" s="4" t="s">
        <v>102</v>
      </c>
      <c r="H319" s="4" t="s">
        <v>103</v>
      </c>
      <c r="I319" s="4"/>
      <c r="J319" s="4"/>
      <c r="K319" s="4">
        <v>232</v>
      </c>
      <c r="L319" s="4">
        <v>15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214</v>
      </c>
      <c r="F320" s="4">
        <f>ROUND(Source!AS303,O320)</f>
        <v>0</v>
      </c>
      <c r="G320" s="4" t="s">
        <v>104</v>
      </c>
      <c r="H320" s="4" t="s">
        <v>105</v>
      </c>
      <c r="I320" s="4"/>
      <c r="J320" s="4"/>
      <c r="K320" s="4">
        <v>214</v>
      </c>
      <c r="L320" s="4">
        <v>16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215</v>
      </c>
      <c r="F321" s="4">
        <f>ROUND(Source!AT303,O321)</f>
        <v>0</v>
      </c>
      <c r="G321" s="4" t="s">
        <v>106</v>
      </c>
      <c r="H321" s="4" t="s">
        <v>107</v>
      </c>
      <c r="I321" s="4"/>
      <c r="J321" s="4"/>
      <c r="K321" s="4">
        <v>215</v>
      </c>
      <c r="L321" s="4">
        <v>17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217</v>
      </c>
      <c r="F322" s="4">
        <f>ROUND(Source!AU303,O322)</f>
        <v>1176523.1100000001</v>
      </c>
      <c r="G322" s="4" t="s">
        <v>108</v>
      </c>
      <c r="H322" s="4" t="s">
        <v>109</v>
      </c>
      <c r="I322" s="4"/>
      <c r="J322" s="4"/>
      <c r="K322" s="4">
        <v>217</v>
      </c>
      <c r="L322" s="4">
        <v>18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1176523.1100000001</v>
      </c>
      <c r="X322" s="4">
        <v>1</v>
      </c>
      <c r="Y322" s="4">
        <v>1176523.1100000001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230</v>
      </c>
      <c r="F323" s="4">
        <f>ROUND(Source!BA303,O323)</f>
        <v>0</v>
      </c>
      <c r="G323" s="4" t="s">
        <v>110</v>
      </c>
      <c r="H323" s="4" t="s">
        <v>111</v>
      </c>
      <c r="I323" s="4"/>
      <c r="J323" s="4"/>
      <c r="K323" s="4">
        <v>230</v>
      </c>
      <c r="L323" s="4">
        <v>19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206</v>
      </c>
      <c r="F324" s="4">
        <f>ROUND(Source!T303,O324)</f>
        <v>0</v>
      </c>
      <c r="G324" s="4" t="s">
        <v>112</v>
      </c>
      <c r="H324" s="4" t="s">
        <v>113</v>
      </c>
      <c r="I324" s="4"/>
      <c r="J324" s="4"/>
      <c r="K324" s="4">
        <v>206</v>
      </c>
      <c r="L324" s="4">
        <v>20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207</v>
      </c>
      <c r="F325" s="4">
        <f>Source!U303</f>
        <v>1219.2289599999999</v>
      </c>
      <c r="G325" s="4" t="s">
        <v>114</v>
      </c>
      <c r="H325" s="4" t="s">
        <v>115</v>
      </c>
      <c r="I325" s="4"/>
      <c r="J325" s="4"/>
      <c r="K325" s="4">
        <v>207</v>
      </c>
      <c r="L325" s="4">
        <v>21</v>
      </c>
      <c r="M325" s="4">
        <v>3</v>
      </c>
      <c r="N325" s="4" t="s">
        <v>3</v>
      </c>
      <c r="O325" s="4">
        <v>-1</v>
      </c>
      <c r="P325" s="4"/>
      <c r="Q325" s="4"/>
      <c r="R325" s="4"/>
      <c r="S325" s="4"/>
      <c r="T325" s="4"/>
      <c r="U325" s="4"/>
      <c r="V325" s="4"/>
      <c r="W325" s="4">
        <v>1219.2289600000004</v>
      </c>
      <c r="X325" s="4">
        <v>1</v>
      </c>
      <c r="Y325" s="4">
        <v>1219.2289600000004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208</v>
      </c>
      <c r="F326" s="4">
        <f>Source!V303</f>
        <v>0</v>
      </c>
      <c r="G326" s="4" t="s">
        <v>116</v>
      </c>
      <c r="H326" s="4" t="s">
        <v>117</v>
      </c>
      <c r="I326" s="4"/>
      <c r="J326" s="4"/>
      <c r="K326" s="4">
        <v>208</v>
      </c>
      <c r="L326" s="4">
        <v>22</v>
      </c>
      <c r="M326" s="4">
        <v>3</v>
      </c>
      <c r="N326" s="4" t="s">
        <v>3</v>
      </c>
      <c r="O326" s="4">
        <v>-1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209</v>
      </c>
      <c r="F327" s="4">
        <f>ROUND(Source!W303,O327)</f>
        <v>0</v>
      </c>
      <c r="G327" s="4" t="s">
        <v>118</v>
      </c>
      <c r="H327" s="4" t="s">
        <v>119</v>
      </c>
      <c r="I327" s="4"/>
      <c r="J327" s="4"/>
      <c r="K327" s="4">
        <v>209</v>
      </c>
      <c r="L327" s="4">
        <v>23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233</v>
      </c>
      <c r="F328" s="4">
        <f>ROUND(Source!BD303,O328)</f>
        <v>0</v>
      </c>
      <c r="G328" s="4" t="s">
        <v>120</v>
      </c>
      <c r="H328" s="4" t="s">
        <v>121</v>
      </c>
      <c r="I328" s="4"/>
      <c r="J328" s="4"/>
      <c r="K328" s="4">
        <v>233</v>
      </c>
      <c r="L328" s="4">
        <v>24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210</v>
      </c>
      <c r="F329" s="4">
        <f>ROUND(Source!X303,O329)</f>
        <v>425882.18</v>
      </c>
      <c r="G329" s="4" t="s">
        <v>122</v>
      </c>
      <c r="H329" s="4" t="s">
        <v>123</v>
      </c>
      <c r="I329" s="4"/>
      <c r="J329" s="4"/>
      <c r="K329" s="4">
        <v>210</v>
      </c>
      <c r="L329" s="4">
        <v>25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425882.18</v>
      </c>
      <c r="X329" s="4">
        <v>1</v>
      </c>
      <c r="Y329" s="4">
        <v>425882.18</v>
      </c>
      <c r="Z329" s="4"/>
      <c r="AA329" s="4"/>
      <c r="AB329" s="4"/>
    </row>
    <row r="330" spans="1:206" x14ac:dyDescent="0.2">
      <c r="A330" s="4">
        <v>50</v>
      </c>
      <c r="B330" s="4">
        <v>0</v>
      </c>
      <c r="C330" s="4">
        <v>0</v>
      </c>
      <c r="D330" s="4">
        <v>1</v>
      </c>
      <c r="E330" s="4">
        <v>211</v>
      </c>
      <c r="F330" s="4">
        <f>ROUND(Source!Y303,O330)</f>
        <v>60840.34</v>
      </c>
      <c r="G330" s="4" t="s">
        <v>124</v>
      </c>
      <c r="H330" s="4" t="s">
        <v>125</v>
      </c>
      <c r="I330" s="4"/>
      <c r="J330" s="4"/>
      <c r="K330" s="4">
        <v>211</v>
      </c>
      <c r="L330" s="4">
        <v>26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60840.34</v>
      </c>
      <c r="X330" s="4">
        <v>1</v>
      </c>
      <c r="Y330" s="4">
        <v>60840.34</v>
      </c>
      <c r="Z330" s="4"/>
      <c r="AA330" s="4"/>
      <c r="AB330" s="4"/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224</v>
      </c>
      <c r="F331" s="4">
        <f>ROUND(Source!AR303,O331)</f>
        <v>1176523.1100000001</v>
      </c>
      <c r="G331" s="4" t="s">
        <v>126</v>
      </c>
      <c r="H331" s="4" t="s">
        <v>127</v>
      </c>
      <c r="I331" s="4"/>
      <c r="J331" s="4"/>
      <c r="K331" s="4">
        <v>224</v>
      </c>
      <c r="L331" s="4">
        <v>27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1176523.1100000001</v>
      </c>
      <c r="X331" s="4">
        <v>1</v>
      </c>
      <c r="Y331" s="4">
        <v>1176523.1100000001</v>
      </c>
      <c r="Z331" s="4"/>
      <c r="AA331" s="4"/>
      <c r="AB331" s="4"/>
    </row>
    <row r="333" spans="1:206" x14ac:dyDescent="0.2">
      <c r="A333" s="1">
        <v>3</v>
      </c>
      <c r="B333" s="1">
        <v>1</v>
      </c>
      <c r="C333" s="1"/>
      <c r="D333" s="1">
        <f>ROW(A473)</f>
        <v>473</v>
      </c>
      <c r="E333" s="1"/>
      <c r="F333" s="1" t="s">
        <v>12</v>
      </c>
      <c r="G333" s="1" t="s">
        <v>308</v>
      </c>
      <c r="H333" s="1" t="s">
        <v>3</v>
      </c>
      <c r="I333" s="1">
        <v>0</v>
      </c>
      <c r="J333" s="1" t="s">
        <v>3</v>
      </c>
      <c r="K333" s="1">
        <v>0</v>
      </c>
      <c r="L333" s="1" t="s">
        <v>3</v>
      </c>
      <c r="M333" s="1" t="s">
        <v>3</v>
      </c>
      <c r="N333" s="1"/>
      <c r="O333" s="1"/>
      <c r="P333" s="1"/>
      <c r="Q333" s="1"/>
      <c r="R333" s="1"/>
      <c r="S333" s="1">
        <v>0</v>
      </c>
      <c r="T333" s="1"/>
      <c r="U333" s="1" t="s">
        <v>3</v>
      </c>
      <c r="V333" s="1">
        <v>0</v>
      </c>
      <c r="W333" s="1"/>
      <c r="X333" s="1"/>
      <c r="Y333" s="1"/>
      <c r="Z333" s="1"/>
      <c r="AA333" s="1"/>
      <c r="AB333" s="1" t="s">
        <v>3</v>
      </c>
      <c r="AC333" s="1" t="s">
        <v>3</v>
      </c>
      <c r="AD333" s="1" t="s">
        <v>3</v>
      </c>
      <c r="AE333" s="1" t="s">
        <v>3</v>
      </c>
      <c r="AF333" s="1" t="s">
        <v>3</v>
      </c>
      <c r="AG333" s="1" t="s">
        <v>3</v>
      </c>
      <c r="AH333" s="1"/>
      <c r="AI333" s="1"/>
      <c r="AJ333" s="1"/>
      <c r="AK333" s="1"/>
      <c r="AL333" s="1"/>
      <c r="AM333" s="1"/>
      <c r="AN333" s="1"/>
      <c r="AO333" s="1"/>
      <c r="AP333" s="1" t="s">
        <v>3</v>
      </c>
      <c r="AQ333" s="1" t="s">
        <v>3</v>
      </c>
      <c r="AR333" s="1" t="s">
        <v>3</v>
      </c>
      <c r="AS333" s="1"/>
      <c r="AT333" s="1"/>
      <c r="AU333" s="1"/>
      <c r="AV333" s="1"/>
      <c r="AW333" s="1"/>
      <c r="AX333" s="1"/>
      <c r="AY333" s="1"/>
      <c r="AZ333" s="1" t="s">
        <v>3</v>
      </c>
      <c r="BA333" s="1"/>
      <c r="BB333" s="1" t="s">
        <v>3</v>
      </c>
      <c r="BC333" s="1" t="s">
        <v>3</v>
      </c>
      <c r="BD333" s="1" t="s">
        <v>3</v>
      </c>
      <c r="BE333" s="1" t="s">
        <v>3</v>
      </c>
      <c r="BF333" s="1" t="s">
        <v>3</v>
      </c>
      <c r="BG333" s="1" t="s">
        <v>3</v>
      </c>
      <c r="BH333" s="1" t="s">
        <v>3</v>
      </c>
      <c r="BI333" s="1" t="s">
        <v>3</v>
      </c>
      <c r="BJ333" s="1" t="s">
        <v>3</v>
      </c>
      <c r="BK333" s="1" t="s">
        <v>3</v>
      </c>
      <c r="BL333" s="1" t="s">
        <v>3</v>
      </c>
      <c r="BM333" s="1" t="s">
        <v>3</v>
      </c>
      <c r="BN333" s="1" t="s">
        <v>3</v>
      </c>
      <c r="BO333" s="1" t="s">
        <v>3</v>
      </c>
      <c r="BP333" s="1" t="s">
        <v>3</v>
      </c>
      <c r="BQ333" s="1"/>
      <c r="BR333" s="1"/>
      <c r="BS333" s="1"/>
      <c r="BT333" s="1"/>
      <c r="BU333" s="1"/>
      <c r="BV333" s="1"/>
      <c r="BW333" s="1"/>
      <c r="BX333" s="1">
        <v>0</v>
      </c>
      <c r="BY333" s="1"/>
      <c r="BZ333" s="1"/>
      <c r="CA333" s="1"/>
      <c r="CB333" s="1"/>
      <c r="CC333" s="1"/>
      <c r="CD333" s="1"/>
      <c r="CE333" s="1"/>
      <c r="CF333" s="1">
        <v>0</v>
      </c>
      <c r="CG333" s="1">
        <v>0</v>
      </c>
      <c r="CH333" s="1"/>
      <c r="CI333" s="1" t="s">
        <v>3</v>
      </c>
      <c r="CJ333" s="1" t="s">
        <v>3</v>
      </c>
      <c r="CK333" t="s">
        <v>3</v>
      </c>
      <c r="CL333" t="s">
        <v>3</v>
      </c>
      <c r="CM333" t="s">
        <v>3</v>
      </c>
      <c r="CN333" t="s">
        <v>3</v>
      </c>
      <c r="CO333" t="s">
        <v>3</v>
      </c>
      <c r="CP333" t="s">
        <v>3</v>
      </c>
      <c r="CQ333" t="s">
        <v>3</v>
      </c>
    </row>
    <row r="335" spans="1:206" x14ac:dyDescent="0.2">
      <c r="A335" s="2">
        <v>52</v>
      </c>
      <c r="B335" s="2">
        <f t="shared" ref="B335:G335" si="276">B473</f>
        <v>1</v>
      </c>
      <c r="C335" s="2">
        <f t="shared" si="276"/>
        <v>3</v>
      </c>
      <c r="D335" s="2">
        <f t="shared" si="276"/>
        <v>333</v>
      </c>
      <c r="E335" s="2">
        <f t="shared" si="276"/>
        <v>0</v>
      </c>
      <c r="F335" s="2" t="str">
        <f t="shared" si="276"/>
        <v>Новая локальная смета</v>
      </c>
      <c r="G335" s="2" t="str">
        <f t="shared" si="276"/>
        <v>Техническое обслуживание инженерных систем ИТП</v>
      </c>
      <c r="H335" s="2"/>
      <c r="I335" s="2"/>
      <c r="J335" s="2"/>
      <c r="K335" s="2"/>
      <c r="L335" s="2"/>
      <c r="M335" s="2"/>
      <c r="N335" s="2"/>
      <c r="O335" s="2">
        <f t="shared" ref="O335:AT335" si="277">O473</f>
        <v>143132.94</v>
      </c>
      <c r="P335" s="2">
        <f t="shared" si="277"/>
        <v>639.82000000000005</v>
      </c>
      <c r="Q335" s="2">
        <f t="shared" si="277"/>
        <v>3934.82</v>
      </c>
      <c r="R335" s="2">
        <f t="shared" si="277"/>
        <v>2134.34</v>
      </c>
      <c r="S335" s="2">
        <f t="shared" si="277"/>
        <v>138558.29999999999</v>
      </c>
      <c r="T335" s="2">
        <f t="shared" si="277"/>
        <v>0</v>
      </c>
      <c r="U335" s="2">
        <f t="shared" si="277"/>
        <v>211.71850000000003</v>
      </c>
      <c r="V335" s="2">
        <f t="shared" si="277"/>
        <v>0</v>
      </c>
      <c r="W335" s="2">
        <f t="shared" si="277"/>
        <v>0</v>
      </c>
      <c r="X335" s="2">
        <f t="shared" si="277"/>
        <v>96990.83</v>
      </c>
      <c r="Y335" s="2">
        <f t="shared" si="277"/>
        <v>13855.84</v>
      </c>
      <c r="Z335" s="2">
        <f t="shared" si="277"/>
        <v>0</v>
      </c>
      <c r="AA335" s="2">
        <f t="shared" si="277"/>
        <v>0</v>
      </c>
      <c r="AB335" s="2">
        <f t="shared" si="277"/>
        <v>0</v>
      </c>
      <c r="AC335" s="2">
        <f t="shared" si="277"/>
        <v>0</v>
      </c>
      <c r="AD335" s="2">
        <f t="shared" si="277"/>
        <v>0</v>
      </c>
      <c r="AE335" s="2">
        <f t="shared" si="277"/>
        <v>0</v>
      </c>
      <c r="AF335" s="2">
        <f t="shared" si="277"/>
        <v>0</v>
      </c>
      <c r="AG335" s="2">
        <f t="shared" si="277"/>
        <v>0</v>
      </c>
      <c r="AH335" s="2">
        <f t="shared" si="277"/>
        <v>0</v>
      </c>
      <c r="AI335" s="2">
        <f t="shared" si="277"/>
        <v>0</v>
      </c>
      <c r="AJ335" s="2">
        <f t="shared" si="277"/>
        <v>0</v>
      </c>
      <c r="AK335" s="2">
        <f t="shared" si="277"/>
        <v>0</v>
      </c>
      <c r="AL335" s="2">
        <f t="shared" si="277"/>
        <v>0</v>
      </c>
      <c r="AM335" s="2">
        <f t="shared" si="277"/>
        <v>0</v>
      </c>
      <c r="AN335" s="2">
        <f t="shared" si="277"/>
        <v>0</v>
      </c>
      <c r="AO335" s="2">
        <f t="shared" si="277"/>
        <v>0</v>
      </c>
      <c r="AP335" s="2">
        <f t="shared" si="277"/>
        <v>0</v>
      </c>
      <c r="AQ335" s="2">
        <f t="shared" si="277"/>
        <v>0</v>
      </c>
      <c r="AR335" s="2">
        <f t="shared" si="277"/>
        <v>256284.7</v>
      </c>
      <c r="AS335" s="2">
        <f t="shared" si="277"/>
        <v>0</v>
      </c>
      <c r="AT335" s="2">
        <f t="shared" si="277"/>
        <v>0</v>
      </c>
      <c r="AU335" s="2">
        <f t="shared" ref="AU335:BZ335" si="278">AU473</f>
        <v>256284.7</v>
      </c>
      <c r="AV335" s="2">
        <f t="shared" si="278"/>
        <v>639.82000000000005</v>
      </c>
      <c r="AW335" s="2">
        <f t="shared" si="278"/>
        <v>639.82000000000005</v>
      </c>
      <c r="AX335" s="2">
        <f t="shared" si="278"/>
        <v>0</v>
      </c>
      <c r="AY335" s="2">
        <f t="shared" si="278"/>
        <v>639.82000000000005</v>
      </c>
      <c r="AZ335" s="2">
        <f t="shared" si="278"/>
        <v>0</v>
      </c>
      <c r="BA335" s="2">
        <f t="shared" si="278"/>
        <v>0</v>
      </c>
      <c r="BB335" s="2">
        <f t="shared" si="278"/>
        <v>0</v>
      </c>
      <c r="BC335" s="2">
        <f t="shared" si="278"/>
        <v>0</v>
      </c>
      <c r="BD335" s="2">
        <f t="shared" si="278"/>
        <v>0</v>
      </c>
      <c r="BE335" s="2">
        <f t="shared" si="278"/>
        <v>0</v>
      </c>
      <c r="BF335" s="2">
        <f t="shared" si="278"/>
        <v>0</v>
      </c>
      <c r="BG335" s="2">
        <f t="shared" si="278"/>
        <v>0</v>
      </c>
      <c r="BH335" s="2">
        <f t="shared" si="278"/>
        <v>0</v>
      </c>
      <c r="BI335" s="2">
        <f t="shared" si="278"/>
        <v>0</v>
      </c>
      <c r="BJ335" s="2">
        <f t="shared" si="278"/>
        <v>0</v>
      </c>
      <c r="BK335" s="2">
        <f t="shared" si="278"/>
        <v>0</v>
      </c>
      <c r="BL335" s="2">
        <f t="shared" si="278"/>
        <v>0</v>
      </c>
      <c r="BM335" s="2">
        <f t="shared" si="278"/>
        <v>0</v>
      </c>
      <c r="BN335" s="2">
        <f t="shared" si="278"/>
        <v>0</v>
      </c>
      <c r="BO335" s="2">
        <f t="shared" si="278"/>
        <v>0</v>
      </c>
      <c r="BP335" s="2">
        <f t="shared" si="278"/>
        <v>0</v>
      </c>
      <c r="BQ335" s="2">
        <f t="shared" si="278"/>
        <v>0</v>
      </c>
      <c r="BR335" s="2">
        <f t="shared" si="278"/>
        <v>0</v>
      </c>
      <c r="BS335" s="2">
        <f t="shared" si="278"/>
        <v>0</v>
      </c>
      <c r="BT335" s="2">
        <f t="shared" si="278"/>
        <v>0</v>
      </c>
      <c r="BU335" s="2">
        <f t="shared" si="278"/>
        <v>0</v>
      </c>
      <c r="BV335" s="2">
        <f t="shared" si="278"/>
        <v>0</v>
      </c>
      <c r="BW335" s="2">
        <f t="shared" si="278"/>
        <v>0</v>
      </c>
      <c r="BX335" s="2">
        <f t="shared" si="278"/>
        <v>0</v>
      </c>
      <c r="BY335" s="2">
        <f t="shared" si="278"/>
        <v>0</v>
      </c>
      <c r="BZ335" s="2">
        <f t="shared" si="278"/>
        <v>0</v>
      </c>
      <c r="CA335" s="2">
        <f t="shared" ref="CA335:DF335" si="279">CA473</f>
        <v>0</v>
      </c>
      <c r="CB335" s="2">
        <f t="shared" si="279"/>
        <v>0</v>
      </c>
      <c r="CC335" s="2">
        <f t="shared" si="279"/>
        <v>0</v>
      </c>
      <c r="CD335" s="2">
        <f t="shared" si="279"/>
        <v>0</v>
      </c>
      <c r="CE335" s="2">
        <f t="shared" si="279"/>
        <v>0</v>
      </c>
      <c r="CF335" s="2">
        <f t="shared" si="279"/>
        <v>0</v>
      </c>
      <c r="CG335" s="2">
        <f t="shared" si="279"/>
        <v>0</v>
      </c>
      <c r="CH335" s="2">
        <f t="shared" si="279"/>
        <v>0</v>
      </c>
      <c r="CI335" s="2">
        <f t="shared" si="279"/>
        <v>0</v>
      </c>
      <c r="CJ335" s="2">
        <f t="shared" si="279"/>
        <v>0</v>
      </c>
      <c r="CK335" s="2">
        <f t="shared" si="279"/>
        <v>0</v>
      </c>
      <c r="CL335" s="2">
        <f t="shared" si="279"/>
        <v>0</v>
      </c>
      <c r="CM335" s="2">
        <f t="shared" si="279"/>
        <v>0</v>
      </c>
      <c r="CN335" s="2">
        <f t="shared" si="279"/>
        <v>0</v>
      </c>
      <c r="CO335" s="2">
        <f t="shared" si="279"/>
        <v>0</v>
      </c>
      <c r="CP335" s="2">
        <f t="shared" si="279"/>
        <v>0</v>
      </c>
      <c r="CQ335" s="2">
        <f t="shared" si="279"/>
        <v>0</v>
      </c>
      <c r="CR335" s="2">
        <f t="shared" si="279"/>
        <v>0</v>
      </c>
      <c r="CS335" s="2">
        <f t="shared" si="279"/>
        <v>0</v>
      </c>
      <c r="CT335" s="2">
        <f t="shared" si="279"/>
        <v>0</v>
      </c>
      <c r="CU335" s="2">
        <f t="shared" si="279"/>
        <v>0</v>
      </c>
      <c r="CV335" s="2">
        <f t="shared" si="279"/>
        <v>0</v>
      </c>
      <c r="CW335" s="2">
        <f t="shared" si="279"/>
        <v>0</v>
      </c>
      <c r="CX335" s="2">
        <f t="shared" si="279"/>
        <v>0</v>
      </c>
      <c r="CY335" s="2">
        <f t="shared" si="279"/>
        <v>0</v>
      </c>
      <c r="CZ335" s="2">
        <f t="shared" si="279"/>
        <v>0</v>
      </c>
      <c r="DA335" s="2">
        <f t="shared" si="279"/>
        <v>0</v>
      </c>
      <c r="DB335" s="2">
        <f t="shared" si="279"/>
        <v>0</v>
      </c>
      <c r="DC335" s="2">
        <f t="shared" si="279"/>
        <v>0</v>
      </c>
      <c r="DD335" s="2">
        <f t="shared" si="279"/>
        <v>0</v>
      </c>
      <c r="DE335" s="2">
        <f t="shared" si="279"/>
        <v>0</v>
      </c>
      <c r="DF335" s="2">
        <f t="shared" si="279"/>
        <v>0</v>
      </c>
      <c r="DG335" s="3">
        <f t="shared" ref="DG335:EL335" si="280">DG473</f>
        <v>0</v>
      </c>
      <c r="DH335" s="3">
        <f t="shared" si="280"/>
        <v>0</v>
      </c>
      <c r="DI335" s="3">
        <f t="shared" si="280"/>
        <v>0</v>
      </c>
      <c r="DJ335" s="3">
        <f t="shared" si="280"/>
        <v>0</v>
      </c>
      <c r="DK335" s="3">
        <f t="shared" si="280"/>
        <v>0</v>
      </c>
      <c r="DL335" s="3">
        <f t="shared" si="280"/>
        <v>0</v>
      </c>
      <c r="DM335" s="3">
        <f t="shared" si="280"/>
        <v>0</v>
      </c>
      <c r="DN335" s="3">
        <f t="shared" si="280"/>
        <v>0</v>
      </c>
      <c r="DO335" s="3">
        <f t="shared" si="280"/>
        <v>0</v>
      </c>
      <c r="DP335" s="3">
        <f t="shared" si="280"/>
        <v>0</v>
      </c>
      <c r="DQ335" s="3">
        <f t="shared" si="280"/>
        <v>0</v>
      </c>
      <c r="DR335" s="3">
        <f t="shared" si="280"/>
        <v>0</v>
      </c>
      <c r="DS335" s="3">
        <f t="shared" si="280"/>
        <v>0</v>
      </c>
      <c r="DT335" s="3">
        <f t="shared" si="280"/>
        <v>0</v>
      </c>
      <c r="DU335" s="3">
        <f t="shared" si="280"/>
        <v>0</v>
      </c>
      <c r="DV335" s="3">
        <f t="shared" si="280"/>
        <v>0</v>
      </c>
      <c r="DW335" s="3">
        <f t="shared" si="280"/>
        <v>0</v>
      </c>
      <c r="DX335" s="3">
        <f t="shared" si="280"/>
        <v>0</v>
      </c>
      <c r="DY335" s="3">
        <f t="shared" si="280"/>
        <v>0</v>
      </c>
      <c r="DZ335" s="3">
        <f t="shared" si="280"/>
        <v>0</v>
      </c>
      <c r="EA335" s="3">
        <f t="shared" si="280"/>
        <v>0</v>
      </c>
      <c r="EB335" s="3">
        <f t="shared" si="280"/>
        <v>0</v>
      </c>
      <c r="EC335" s="3">
        <f t="shared" si="280"/>
        <v>0</v>
      </c>
      <c r="ED335" s="3">
        <f t="shared" si="280"/>
        <v>0</v>
      </c>
      <c r="EE335" s="3">
        <f t="shared" si="280"/>
        <v>0</v>
      </c>
      <c r="EF335" s="3">
        <f t="shared" si="280"/>
        <v>0</v>
      </c>
      <c r="EG335" s="3">
        <f t="shared" si="280"/>
        <v>0</v>
      </c>
      <c r="EH335" s="3">
        <f t="shared" si="280"/>
        <v>0</v>
      </c>
      <c r="EI335" s="3">
        <f t="shared" si="280"/>
        <v>0</v>
      </c>
      <c r="EJ335" s="3">
        <f t="shared" si="280"/>
        <v>0</v>
      </c>
      <c r="EK335" s="3">
        <f t="shared" si="280"/>
        <v>0</v>
      </c>
      <c r="EL335" s="3">
        <f t="shared" si="280"/>
        <v>0</v>
      </c>
      <c r="EM335" s="3">
        <f t="shared" ref="EM335:FR335" si="281">EM473</f>
        <v>0</v>
      </c>
      <c r="EN335" s="3">
        <f t="shared" si="281"/>
        <v>0</v>
      </c>
      <c r="EO335" s="3">
        <f t="shared" si="281"/>
        <v>0</v>
      </c>
      <c r="EP335" s="3">
        <f t="shared" si="281"/>
        <v>0</v>
      </c>
      <c r="EQ335" s="3">
        <f t="shared" si="281"/>
        <v>0</v>
      </c>
      <c r="ER335" s="3">
        <f t="shared" si="281"/>
        <v>0</v>
      </c>
      <c r="ES335" s="3">
        <f t="shared" si="281"/>
        <v>0</v>
      </c>
      <c r="ET335" s="3">
        <f t="shared" si="281"/>
        <v>0</v>
      </c>
      <c r="EU335" s="3">
        <f t="shared" si="281"/>
        <v>0</v>
      </c>
      <c r="EV335" s="3">
        <f t="shared" si="281"/>
        <v>0</v>
      </c>
      <c r="EW335" s="3">
        <f t="shared" si="281"/>
        <v>0</v>
      </c>
      <c r="EX335" s="3">
        <f t="shared" si="281"/>
        <v>0</v>
      </c>
      <c r="EY335" s="3">
        <f t="shared" si="281"/>
        <v>0</v>
      </c>
      <c r="EZ335" s="3">
        <f t="shared" si="281"/>
        <v>0</v>
      </c>
      <c r="FA335" s="3">
        <f t="shared" si="281"/>
        <v>0</v>
      </c>
      <c r="FB335" s="3">
        <f t="shared" si="281"/>
        <v>0</v>
      </c>
      <c r="FC335" s="3">
        <f t="shared" si="281"/>
        <v>0</v>
      </c>
      <c r="FD335" s="3">
        <f t="shared" si="281"/>
        <v>0</v>
      </c>
      <c r="FE335" s="3">
        <f t="shared" si="281"/>
        <v>0</v>
      </c>
      <c r="FF335" s="3">
        <f t="shared" si="281"/>
        <v>0</v>
      </c>
      <c r="FG335" s="3">
        <f t="shared" si="281"/>
        <v>0</v>
      </c>
      <c r="FH335" s="3">
        <f t="shared" si="281"/>
        <v>0</v>
      </c>
      <c r="FI335" s="3">
        <f t="shared" si="281"/>
        <v>0</v>
      </c>
      <c r="FJ335" s="3">
        <f t="shared" si="281"/>
        <v>0</v>
      </c>
      <c r="FK335" s="3">
        <f t="shared" si="281"/>
        <v>0</v>
      </c>
      <c r="FL335" s="3">
        <f t="shared" si="281"/>
        <v>0</v>
      </c>
      <c r="FM335" s="3">
        <f t="shared" si="281"/>
        <v>0</v>
      </c>
      <c r="FN335" s="3">
        <f t="shared" si="281"/>
        <v>0</v>
      </c>
      <c r="FO335" s="3">
        <f t="shared" si="281"/>
        <v>0</v>
      </c>
      <c r="FP335" s="3">
        <f t="shared" si="281"/>
        <v>0</v>
      </c>
      <c r="FQ335" s="3">
        <f t="shared" si="281"/>
        <v>0</v>
      </c>
      <c r="FR335" s="3">
        <f t="shared" si="281"/>
        <v>0</v>
      </c>
      <c r="FS335" s="3">
        <f t="shared" ref="FS335:GX335" si="282">FS473</f>
        <v>0</v>
      </c>
      <c r="FT335" s="3">
        <f t="shared" si="282"/>
        <v>0</v>
      </c>
      <c r="FU335" s="3">
        <f t="shared" si="282"/>
        <v>0</v>
      </c>
      <c r="FV335" s="3">
        <f t="shared" si="282"/>
        <v>0</v>
      </c>
      <c r="FW335" s="3">
        <f t="shared" si="282"/>
        <v>0</v>
      </c>
      <c r="FX335" s="3">
        <f t="shared" si="282"/>
        <v>0</v>
      </c>
      <c r="FY335" s="3">
        <f t="shared" si="282"/>
        <v>0</v>
      </c>
      <c r="FZ335" s="3">
        <f t="shared" si="282"/>
        <v>0</v>
      </c>
      <c r="GA335" s="3">
        <f t="shared" si="282"/>
        <v>0</v>
      </c>
      <c r="GB335" s="3">
        <f t="shared" si="282"/>
        <v>0</v>
      </c>
      <c r="GC335" s="3">
        <f t="shared" si="282"/>
        <v>0</v>
      </c>
      <c r="GD335" s="3">
        <f t="shared" si="282"/>
        <v>0</v>
      </c>
      <c r="GE335" s="3">
        <f t="shared" si="282"/>
        <v>0</v>
      </c>
      <c r="GF335" s="3">
        <f t="shared" si="282"/>
        <v>0</v>
      </c>
      <c r="GG335" s="3">
        <f t="shared" si="282"/>
        <v>0</v>
      </c>
      <c r="GH335" s="3">
        <f t="shared" si="282"/>
        <v>0</v>
      </c>
      <c r="GI335" s="3">
        <f t="shared" si="282"/>
        <v>0</v>
      </c>
      <c r="GJ335" s="3">
        <f t="shared" si="282"/>
        <v>0</v>
      </c>
      <c r="GK335" s="3">
        <f t="shared" si="282"/>
        <v>0</v>
      </c>
      <c r="GL335" s="3">
        <f t="shared" si="282"/>
        <v>0</v>
      </c>
      <c r="GM335" s="3">
        <f t="shared" si="282"/>
        <v>0</v>
      </c>
      <c r="GN335" s="3">
        <f t="shared" si="282"/>
        <v>0</v>
      </c>
      <c r="GO335" s="3">
        <f t="shared" si="282"/>
        <v>0</v>
      </c>
      <c r="GP335" s="3">
        <f t="shared" si="282"/>
        <v>0</v>
      </c>
      <c r="GQ335" s="3">
        <f t="shared" si="282"/>
        <v>0</v>
      </c>
      <c r="GR335" s="3">
        <f t="shared" si="282"/>
        <v>0</v>
      </c>
      <c r="GS335" s="3">
        <f t="shared" si="282"/>
        <v>0</v>
      </c>
      <c r="GT335" s="3">
        <f t="shared" si="282"/>
        <v>0</v>
      </c>
      <c r="GU335" s="3">
        <f t="shared" si="282"/>
        <v>0</v>
      </c>
      <c r="GV335" s="3">
        <f t="shared" si="282"/>
        <v>0</v>
      </c>
      <c r="GW335" s="3">
        <f t="shared" si="282"/>
        <v>0</v>
      </c>
      <c r="GX335" s="3">
        <f t="shared" si="282"/>
        <v>0</v>
      </c>
    </row>
    <row r="337" spans="1:245" x14ac:dyDescent="0.2">
      <c r="A337" s="1">
        <v>4</v>
      </c>
      <c r="B337" s="1">
        <v>1</v>
      </c>
      <c r="C337" s="1"/>
      <c r="D337" s="1">
        <f>ROW(A443)</f>
        <v>443</v>
      </c>
      <c r="E337" s="1"/>
      <c r="F337" s="1" t="s">
        <v>13</v>
      </c>
      <c r="G337" s="1" t="s">
        <v>309</v>
      </c>
      <c r="H337" s="1" t="s">
        <v>3</v>
      </c>
      <c r="I337" s="1">
        <v>0</v>
      </c>
      <c r="J337" s="1"/>
      <c r="K337" s="1">
        <v>0</v>
      </c>
      <c r="L337" s="1"/>
      <c r="M337" s="1" t="s">
        <v>3</v>
      </c>
      <c r="N337" s="1"/>
      <c r="O337" s="1"/>
      <c r="P337" s="1"/>
      <c r="Q337" s="1"/>
      <c r="R337" s="1"/>
      <c r="S337" s="1">
        <v>0</v>
      </c>
      <c r="T337" s="1"/>
      <c r="U337" s="1" t="s">
        <v>3</v>
      </c>
      <c r="V337" s="1">
        <v>0</v>
      </c>
      <c r="W337" s="1"/>
      <c r="X337" s="1"/>
      <c r="Y337" s="1"/>
      <c r="Z337" s="1"/>
      <c r="AA337" s="1"/>
      <c r="AB337" s="1" t="s">
        <v>3</v>
      </c>
      <c r="AC337" s="1" t="s">
        <v>3</v>
      </c>
      <c r="AD337" s="1" t="s">
        <v>3</v>
      </c>
      <c r="AE337" s="1" t="s">
        <v>3</v>
      </c>
      <c r="AF337" s="1" t="s">
        <v>3</v>
      </c>
      <c r="AG337" s="1" t="s">
        <v>3</v>
      </c>
      <c r="AH337" s="1"/>
      <c r="AI337" s="1"/>
      <c r="AJ337" s="1"/>
      <c r="AK337" s="1"/>
      <c r="AL337" s="1"/>
      <c r="AM337" s="1"/>
      <c r="AN337" s="1"/>
      <c r="AO337" s="1"/>
      <c r="AP337" s="1" t="s">
        <v>3</v>
      </c>
      <c r="AQ337" s="1" t="s">
        <v>3</v>
      </c>
      <c r="AR337" s="1" t="s">
        <v>3</v>
      </c>
      <c r="AS337" s="1"/>
      <c r="AT337" s="1"/>
      <c r="AU337" s="1"/>
      <c r="AV337" s="1"/>
      <c r="AW337" s="1"/>
      <c r="AX337" s="1"/>
      <c r="AY337" s="1"/>
      <c r="AZ337" s="1" t="s">
        <v>3</v>
      </c>
      <c r="BA337" s="1"/>
      <c r="BB337" s="1" t="s">
        <v>3</v>
      </c>
      <c r="BC337" s="1" t="s">
        <v>3</v>
      </c>
      <c r="BD337" s="1" t="s">
        <v>3</v>
      </c>
      <c r="BE337" s="1" t="s">
        <v>3</v>
      </c>
      <c r="BF337" s="1" t="s">
        <v>3</v>
      </c>
      <c r="BG337" s="1" t="s">
        <v>3</v>
      </c>
      <c r="BH337" s="1" t="s">
        <v>3</v>
      </c>
      <c r="BI337" s="1" t="s">
        <v>3</v>
      </c>
      <c r="BJ337" s="1" t="s">
        <v>3</v>
      </c>
      <c r="BK337" s="1" t="s">
        <v>3</v>
      </c>
      <c r="BL337" s="1" t="s">
        <v>3</v>
      </c>
      <c r="BM337" s="1" t="s">
        <v>3</v>
      </c>
      <c r="BN337" s="1" t="s">
        <v>3</v>
      </c>
      <c r="BO337" s="1" t="s">
        <v>3</v>
      </c>
      <c r="BP337" s="1" t="s">
        <v>3</v>
      </c>
      <c r="BQ337" s="1"/>
      <c r="BR337" s="1"/>
      <c r="BS337" s="1"/>
      <c r="BT337" s="1"/>
      <c r="BU337" s="1"/>
      <c r="BV337" s="1"/>
      <c r="BW337" s="1"/>
      <c r="BX337" s="1">
        <v>0</v>
      </c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>
        <v>0</v>
      </c>
    </row>
    <row r="339" spans="1:245" x14ac:dyDescent="0.2">
      <c r="A339" s="2">
        <v>52</v>
      </c>
      <c r="B339" s="2">
        <f t="shared" ref="B339:G339" si="283">B443</f>
        <v>1</v>
      </c>
      <c r="C339" s="2">
        <f t="shared" si="283"/>
        <v>4</v>
      </c>
      <c r="D339" s="2">
        <f t="shared" si="283"/>
        <v>337</v>
      </c>
      <c r="E339" s="2">
        <f t="shared" si="283"/>
        <v>0</v>
      </c>
      <c r="F339" s="2" t="str">
        <f t="shared" si="283"/>
        <v>Новый раздел</v>
      </c>
      <c r="G339" s="2" t="str">
        <f t="shared" si="283"/>
        <v>ИТП</v>
      </c>
      <c r="H339" s="2"/>
      <c r="I339" s="2"/>
      <c r="J339" s="2"/>
      <c r="K339" s="2"/>
      <c r="L339" s="2"/>
      <c r="M339" s="2"/>
      <c r="N339" s="2"/>
      <c r="O339" s="2">
        <f t="shared" ref="O339:AT339" si="284">O443</f>
        <v>143132.94</v>
      </c>
      <c r="P339" s="2">
        <f t="shared" si="284"/>
        <v>639.82000000000005</v>
      </c>
      <c r="Q339" s="2">
        <f t="shared" si="284"/>
        <v>3934.82</v>
      </c>
      <c r="R339" s="2">
        <f t="shared" si="284"/>
        <v>2134.34</v>
      </c>
      <c r="S339" s="2">
        <f t="shared" si="284"/>
        <v>138558.29999999999</v>
      </c>
      <c r="T339" s="2">
        <f t="shared" si="284"/>
        <v>0</v>
      </c>
      <c r="U339" s="2">
        <f t="shared" si="284"/>
        <v>211.71850000000003</v>
      </c>
      <c r="V339" s="2">
        <f t="shared" si="284"/>
        <v>0</v>
      </c>
      <c r="W339" s="2">
        <f t="shared" si="284"/>
        <v>0</v>
      </c>
      <c r="X339" s="2">
        <f t="shared" si="284"/>
        <v>96990.83</v>
      </c>
      <c r="Y339" s="2">
        <f t="shared" si="284"/>
        <v>13855.84</v>
      </c>
      <c r="Z339" s="2">
        <f t="shared" si="284"/>
        <v>0</v>
      </c>
      <c r="AA339" s="2">
        <f t="shared" si="284"/>
        <v>0</v>
      </c>
      <c r="AB339" s="2">
        <f t="shared" si="284"/>
        <v>0</v>
      </c>
      <c r="AC339" s="2">
        <f t="shared" si="284"/>
        <v>0</v>
      </c>
      <c r="AD339" s="2">
        <f t="shared" si="284"/>
        <v>0</v>
      </c>
      <c r="AE339" s="2">
        <f t="shared" si="284"/>
        <v>0</v>
      </c>
      <c r="AF339" s="2">
        <f t="shared" si="284"/>
        <v>0</v>
      </c>
      <c r="AG339" s="2">
        <f t="shared" si="284"/>
        <v>0</v>
      </c>
      <c r="AH339" s="2">
        <f t="shared" si="284"/>
        <v>0</v>
      </c>
      <c r="AI339" s="2">
        <f t="shared" si="284"/>
        <v>0</v>
      </c>
      <c r="AJ339" s="2">
        <f t="shared" si="284"/>
        <v>0</v>
      </c>
      <c r="AK339" s="2">
        <f t="shared" si="284"/>
        <v>0</v>
      </c>
      <c r="AL339" s="2">
        <f t="shared" si="284"/>
        <v>0</v>
      </c>
      <c r="AM339" s="2">
        <f t="shared" si="284"/>
        <v>0</v>
      </c>
      <c r="AN339" s="2">
        <f t="shared" si="284"/>
        <v>0</v>
      </c>
      <c r="AO339" s="2">
        <f t="shared" si="284"/>
        <v>0</v>
      </c>
      <c r="AP339" s="2">
        <f t="shared" si="284"/>
        <v>0</v>
      </c>
      <c r="AQ339" s="2">
        <f t="shared" si="284"/>
        <v>0</v>
      </c>
      <c r="AR339" s="2">
        <f t="shared" si="284"/>
        <v>256284.7</v>
      </c>
      <c r="AS339" s="2">
        <f t="shared" si="284"/>
        <v>0</v>
      </c>
      <c r="AT339" s="2">
        <f t="shared" si="284"/>
        <v>0</v>
      </c>
      <c r="AU339" s="2">
        <f t="shared" ref="AU339:BZ339" si="285">AU443</f>
        <v>256284.7</v>
      </c>
      <c r="AV339" s="2">
        <f t="shared" si="285"/>
        <v>639.82000000000005</v>
      </c>
      <c r="AW339" s="2">
        <f t="shared" si="285"/>
        <v>639.82000000000005</v>
      </c>
      <c r="AX339" s="2">
        <f t="shared" si="285"/>
        <v>0</v>
      </c>
      <c r="AY339" s="2">
        <f t="shared" si="285"/>
        <v>639.82000000000005</v>
      </c>
      <c r="AZ339" s="2">
        <f t="shared" si="285"/>
        <v>0</v>
      </c>
      <c r="BA339" s="2">
        <f t="shared" si="285"/>
        <v>0</v>
      </c>
      <c r="BB339" s="2">
        <f t="shared" si="285"/>
        <v>0</v>
      </c>
      <c r="BC339" s="2">
        <f t="shared" si="285"/>
        <v>0</v>
      </c>
      <c r="BD339" s="2">
        <f t="shared" si="285"/>
        <v>0</v>
      </c>
      <c r="BE339" s="2">
        <f t="shared" si="285"/>
        <v>0</v>
      </c>
      <c r="BF339" s="2">
        <f t="shared" si="285"/>
        <v>0</v>
      </c>
      <c r="BG339" s="2">
        <f t="shared" si="285"/>
        <v>0</v>
      </c>
      <c r="BH339" s="2">
        <f t="shared" si="285"/>
        <v>0</v>
      </c>
      <c r="BI339" s="2">
        <f t="shared" si="285"/>
        <v>0</v>
      </c>
      <c r="BJ339" s="2">
        <f t="shared" si="285"/>
        <v>0</v>
      </c>
      <c r="BK339" s="2">
        <f t="shared" si="285"/>
        <v>0</v>
      </c>
      <c r="BL339" s="2">
        <f t="shared" si="285"/>
        <v>0</v>
      </c>
      <c r="BM339" s="2">
        <f t="shared" si="285"/>
        <v>0</v>
      </c>
      <c r="BN339" s="2">
        <f t="shared" si="285"/>
        <v>0</v>
      </c>
      <c r="BO339" s="2">
        <f t="shared" si="285"/>
        <v>0</v>
      </c>
      <c r="BP339" s="2">
        <f t="shared" si="285"/>
        <v>0</v>
      </c>
      <c r="BQ339" s="2">
        <f t="shared" si="285"/>
        <v>0</v>
      </c>
      <c r="BR339" s="2">
        <f t="shared" si="285"/>
        <v>0</v>
      </c>
      <c r="BS339" s="2">
        <f t="shared" si="285"/>
        <v>0</v>
      </c>
      <c r="BT339" s="2">
        <f t="shared" si="285"/>
        <v>0</v>
      </c>
      <c r="BU339" s="2">
        <f t="shared" si="285"/>
        <v>0</v>
      </c>
      <c r="BV339" s="2">
        <f t="shared" si="285"/>
        <v>0</v>
      </c>
      <c r="BW339" s="2">
        <f t="shared" si="285"/>
        <v>0</v>
      </c>
      <c r="BX339" s="2">
        <f t="shared" si="285"/>
        <v>0</v>
      </c>
      <c r="BY339" s="2">
        <f t="shared" si="285"/>
        <v>0</v>
      </c>
      <c r="BZ339" s="2">
        <f t="shared" si="285"/>
        <v>0</v>
      </c>
      <c r="CA339" s="2">
        <f t="shared" ref="CA339:DF339" si="286">CA443</f>
        <v>0</v>
      </c>
      <c r="CB339" s="2">
        <f t="shared" si="286"/>
        <v>0</v>
      </c>
      <c r="CC339" s="2">
        <f t="shared" si="286"/>
        <v>0</v>
      </c>
      <c r="CD339" s="2">
        <f t="shared" si="286"/>
        <v>0</v>
      </c>
      <c r="CE339" s="2">
        <f t="shared" si="286"/>
        <v>0</v>
      </c>
      <c r="CF339" s="2">
        <f t="shared" si="286"/>
        <v>0</v>
      </c>
      <c r="CG339" s="2">
        <f t="shared" si="286"/>
        <v>0</v>
      </c>
      <c r="CH339" s="2">
        <f t="shared" si="286"/>
        <v>0</v>
      </c>
      <c r="CI339" s="2">
        <f t="shared" si="286"/>
        <v>0</v>
      </c>
      <c r="CJ339" s="2">
        <f t="shared" si="286"/>
        <v>0</v>
      </c>
      <c r="CK339" s="2">
        <f t="shared" si="286"/>
        <v>0</v>
      </c>
      <c r="CL339" s="2">
        <f t="shared" si="286"/>
        <v>0</v>
      </c>
      <c r="CM339" s="2">
        <f t="shared" si="286"/>
        <v>0</v>
      </c>
      <c r="CN339" s="2">
        <f t="shared" si="286"/>
        <v>0</v>
      </c>
      <c r="CO339" s="2">
        <f t="shared" si="286"/>
        <v>0</v>
      </c>
      <c r="CP339" s="2">
        <f t="shared" si="286"/>
        <v>0</v>
      </c>
      <c r="CQ339" s="2">
        <f t="shared" si="286"/>
        <v>0</v>
      </c>
      <c r="CR339" s="2">
        <f t="shared" si="286"/>
        <v>0</v>
      </c>
      <c r="CS339" s="2">
        <f t="shared" si="286"/>
        <v>0</v>
      </c>
      <c r="CT339" s="2">
        <f t="shared" si="286"/>
        <v>0</v>
      </c>
      <c r="CU339" s="2">
        <f t="shared" si="286"/>
        <v>0</v>
      </c>
      <c r="CV339" s="2">
        <f t="shared" si="286"/>
        <v>0</v>
      </c>
      <c r="CW339" s="2">
        <f t="shared" si="286"/>
        <v>0</v>
      </c>
      <c r="CX339" s="2">
        <f t="shared" si="286"/>
        <v>0</v>
      </c>
      <c r="CY339" s="2">
        <f t="shared" si="286"/>
        <v>0</v>
      </c>
      <c r="CZ339" s="2">
        <f t="shared" si="286"/>
        <v>0</v>
      </c>
      <c r="DA339" s="2">
        <f t="shared" si="286"/>
        <v>0</v>
      </c>
      <c r="DB339" s="2">
        <f t="shared" si="286"/>
        <v>0</v>
      </c>
      <c r="DC339" s="2">
        <f t="shared" si="286"/>
        <v>0</v>
      </c>
      <c r="DD339" s="2">
        <f t="shared" si="286"/>
        <v>0</v>
      </c>
      <c r="DE339" s="2">
        <f t="shared" si="286"/>
        <v>0</v>
      </c>
      <c r="DF339" s="2">
        <f t="shared" si="286"/>
        <v>0</v>
      </c>
      <c r="DG339" s="3">
        <f t="shared" ref="DG339:EL339" si="287">DG443</f>
        <v>0</v>
      </c>
      <c r="DH339" s="3">
        <f t="shared" si="287"/>
        <v>0</v>
      </c>
      <c r="DI339" s="3">
        <f t="shared" si="287"/>
        <v>0</v>
      </c>
      <c r="DJ339" s="3">
        <f t="shared" si="287"/>
        <v>0</v>
      </c>
      <c r="DK339" s="3">
        <f t="shared" si="287"/>
        <v>0</v>
      </c>
      <c r="DL339" s="3">
        <f t="shared" si="287"/>
        <v>0</v>
      </c>
      <c r="DM339" s="3">
        <f t="shared" si="287"/>
        <v>0</v>
      </c>
      <c r="DN339" s="3">
        <f t="shared" si="287"/>
        <v>0</v>
      </c>
      <c r="DO339" s="3">
        <f t="shared" si="287"/>
        <v>0</v>
      </c>
      <c r="DP339" s="3">
        <f t="shared" si="287"/>
        <v>0</v>
      </c>
      <c r="DQ339" s="3">
        <f t="shared" si="287"/>
        <v>0</v>
      </c>
      <c r="DR339" s="3">
        <f t="shared" si="287"/>
        <v>0</v>
      </c>
      <c r="DS339" s="3">
        <f t="shared" si="287"/>
        <v>0</v>
      </c>
      <c r="DT339" s="3">
        <f t="shared" si="287"/>
        <v>0</v>
      </c>
      <c r="DU339" s="3">
        <f t="shared" si="287"/>
        <v>0</v>
      </c>
      <c r="DV339" s="3">
        <f t="shared" si="287"/>
        <v>0</v>
      </c>
      <c r="DW339" s="3">
        <f t="shared" si="287"/>
        <v>0</v>
      </c>
      <c r="DX339" s="3">
        <f t="shared" si="287"/>
        <v>0</v>
      </c>
      <c r="DY339" s="3">
        <f t="shared" si="287"/>
        <v>0</v>
      </c>
      <c r="DZ339" s="3">
        <f t="shared" si="287"/>
        <v>0</v>
      </c>
      <c r="EA339" s="3">
        <f t="shared" si="287"/>
        <v>0</v>
      </c>
      <c r="EB339" s="3">
        <f t="shared" si="287"/>
        <v>0</v>
      </c>
      <c r="EC339" s="3">
        <f t="shared" si="287"/>
        <v>0</v>
      </c>
      <c r="ED339" s="3">
        <f t="shared" si="287"/>
        <v>0</v>
      </c>
      <c r="EE339" s="3">
        <f t="shared" si="287"/>
        <v>0</v>
      </c>
      <c r="EF339" s="3">
        <f t="shared" si="287"/>
        <v>0</v>
      </c>
      <c r="EG339" s="3">
        <f t="shared" si="287"/>
        <v>0</v>
      </c>
      <c r="EH339" s="3">
        <f t="shared" si="287"/>
        <v>0</v>
      </c>
      <c r="EI339" s="3">
        <f t="shared" si="287"/>
        <v>0</v>
      </c>
      <c r="EJ339" s="3">
        <f t="shared" si="287"/>
        <v>0</v>
      </c>
      <c r="EK339" s="3">
        <f t="shared" si="287"/>
        <v>0</v>
      </c>
      <c r="EL339" s="3">
        <f t="shared" si="287"/>
        <v>0</v>
      </c>
      <c r="EM339" s="3">
        <f t="shared" ref="EM339:FR339" si="288">EM443</f>
        <v>0</v>
      </c>
      <c r="EN339" s="3">
        <f t="shared" si="288"/>
        <v>0</v>
      </c>
      <c r="EO339" s="3">
        <f t="shared" si="288"/>
        <v>0</v>
      </c>
      <c r="EP339" s="3">
        <f t="shared" si="288"/>
        <v>0</v>
      </c>
      <c r="EQ339" s="3">
        <f t="shared" si="288"/>
        <v>0</v>
      </c>
      <c r="ER339" s="3">
        <f t="shared" si="288"/>
        <v>0</v>
      </c>
      <c r="ES339" s="3">
        <f t="shared" si="288"/>
        <v>0</v>
      </c>
      <c r="ET339" s="3">
        <f t="shared" si="288"/>
        <v>0</v>
      </c>
      <c r="EU339" s="3">
        <f t="shared" si="288"/>
        <v>0</v>
      </c>
      <c r="EV339" s="3">
        <f t="shared" si="288"/>
        <v>0</v>
      </c>
      <c r="EW339" s="3">
        <f t="shared" si="288"/>
        <v>0</v>
      </c>
      <c r="EX339" s="3">
        <f t="shared" si="288"/>
        <v>0</v>
      </c>
      <c r="EY339" s="3">
        <f t="shared" si="288"/>
        <v>0</v>
      </c>
      <c r="EZ339" s="3">
        <f t="shared" si="288"/>
        <v>0</v>
      </c>
      <c r="FA339" s="3">
        <f t="shared" si="288"/>
        <v>0</v>
      </c>
      <c r="FB339" s="3">
        <f t="shared" si="288"/>
        <v>0</v>
      </c>
      <c r="FC339" s="3">
        <f t="shared" si="288"/>
        <v>0</v>
      </c>
      <c r="FD339" s="3">
        <f t="shared" si="288"/>
        <v>0</v>
      </c>
      <c r="FE339" s="3">
        <f t="shared" si="288"/>
        <v>0</v>
      </c>
      <c r="FF339" s="3">
        <f t="shared" si="288"/>
        <v>0</v>
      </c>
      <c r="FG339" s="3">
        <f t="shared" si="288"/>
        <v>0</v>
      </c>
      <c r="FH339" s="3">
        <f t="shared" si="288"/>
        <v>0</v>
      </c>
      <c r="FI339" s="3">
        <f t="shared" si="288"/>
        <v>0</v>
      </c>
      <c r="FJ339" s="3">
        <f t="shared" si="288"/>
        <v>0</v>
      </c>
      <c r="FK339" s="3">
        <f t="shared" si="288"/>
        <v>0</v>
      </c>
      <c r="FL339" s="3">
        <f t="shared" si="288"/>
        <v>0</v>
      </c>
      <c r="FM339" s="3">
        <f t="shared" si="288"/>
        <v>0</v>
      </c>
      <c r="FN339" s="3">
        <f t="shared" si="288"/>
        <v>0</v>
      </c>
      <c r="FO339" s="3">
        <f t="shared" si="288"/>
        <v>0</v>
      </c>
      <c r="FP339" s="3">
        <f t="shared" si="288"/>
        <v>0</v>
      </c>
      <c r="FQ339" s="3">
        <f t="shared" si="288"/>
        <v>0</v>
      </c>
      <c r="FR339" s="3">
        <f t="shared" si="288"/>
        <v>0</v>
      </c>
      <c r="FS339" s="3">
        <f t="shared" ref="FS339:GX339" si="289">FS443</f>
        <v>0</v>
      </c>
      <c r="FT339" s="3">
        <f t="shared" si="289"/>
        <v>0</v>
      </c>
      <c r="FU339" s="3">
        <f t="shared" si="289"/>
        <v>0</v>
      </c>
      <c r="FV339" s="3">
        <f t="shared" si="289"/>
        <v>0</v>
      </c>
      <c r="FW339" s="3">
        <f t="shared" si="289"/>
        <v>0</v>
      </c>
      <c r="FX339" s="3">
        <f t="shared" si="289"/>
        <v>0</v>
      </c>
      <c r="FY339" s="3">
        <f t="shared" si="289"/>
        <v>0</v>
      </c>
      <c r="FZ339" s="3">
        <f t="shared" si="289"/>
        <v>0</v>
      </c>
      <c r="GA339" s="3">
        <f t="shared" si="289"/>
        <v>0</v>
      </c>
      <c r="GB339" s="3">
        <f t="shared" si="289"/>
        <v>0</v>
      </c>
      <c r="GC339" s="3">
        <f t="shared" si="289"/>
        <v>0</v>
      </c>
      <c r="GD339" s="3">
        <f t="shared" si="289"/>
        <v>0</v>
      </c>
      <c r="GE339" s="3">
        <f t="shared" si="289"/>
        <v>0</v>
      </c>
      <c r="GF339" s="3">
        <f t="shared" si="289"/>
        <v>0</v>
      </c>
      <c r="GG339" s="3">
        <f t="shared" si="289"/>
        <v>0</v>
      </c>
      <c r="GH339" s="3">
        <f t="shared" si="289"/>
        <v>0</v>
      </c>
      <c r="GI339" s="3">
        <f t="shared" si="289"/>
        <v>0</v>
      </c>
      <c r="GJ339" s="3">
        <f t="shared" si="289"/>
        <v>0</v>
      </c>
      <c r="GK339" s="3">
        <f t="shared" si="289"/>
        <v>0</v>
      </c>
      <c r="GL339" s="3">
        <f t="shared" si="289"/>
        <v>0</v>
      </c>
      <c r="GM339" s="3">
        <f t="shared" si="289"/>
        <v>0</v>
      </c>
      <c r="GN339" s="3">
        <f t="shared" si="289"/>
        <v>0</v>
      </c>
      <c r="GO339" s="3">
        <f t="shared" si="289"/>
        <v>0</v>
      </c>
      <c r="GP339" s="3">
        <f t="shared" si="289"/>
        <v>0</v>
      </c>
      <c r="GQ339" s="3">
        <f t="shared" si="289"/>
        <v>0</v>
      </c>
      <c r="GR339" s="3">
        <f t="shared" si="289"/>
        <v>0</v>
      </c>
      <c r="GS339" s="3">
        <f t="shared" si="289"/>
        <v>0</v>
      </c>
      <c r="GT339" s="3">
        <f t="shared" si="289"/>
        <v>0</v>
      </c>
      <c r="GU339" s="3">
        <f t="shared" si="289"/>
        <v>0</v>
      </c>
      <c r="GV339" s="3">
        <f t="shared" si="289"/>
        <v>0</v>
      </c>
      <c r="GW339" s="3">
        <f t="shared" si="289"/>
        <v>0</v>
      </c>
      <c r="GX339" s="3">
        <f t="shared" si="289"/>
        <v>0</v>
      </c>
    </row>
    <row r="341" spans="1:245" x14ac:dyDescent="0.2">
      <c r="A341" s="1">
        <v>5</v>
      </c>
      <c r="B341" s="1">
        <v>1</v>
      </c>
      <c r="C341" s="1"/>
      <c r="D341" s="1">
        <f>ROW(A360)</f>
        <v>360</v>
      </c>
      <c r="E341" s="1"/>
      <c r="F341" s="1" t="s">
        <v>310</v>
      </c>
      <c r="G341" s="1" t="s">
        <v>311</v>
      </c>
      <c r="H341" s="1" t="s">
        <v>3</v>
      </c>
      <c r="I341" s="1">
        <v>0</v>
      </c>
      <c r="J341" s="1"/>
      <c r="K341" s="1">
        <v>0</v>
      </c>
      <c r="L341" s="1"/>
      <c r="M341" s="1" t="s">
        <v>3</v>
      </c>
      <c r="N341" s="1"/>
      <c r="O341" s="1"/>
      <c r="P341" s="1"/>
      <c r="Q341" s="1"/>
      <c r="R341" s="1"/>
      <c r="S341" s="1">
        <v>0</v>
      </c>
      <c r="T341" s="1"/>
      <c r="U341" s="1" t="s">
        <v>3</v>
      </c>
      <c r="V341" s="1">
        <v>0</v>
      </c>
      <c r="W341" s="1"/>
      <c r="X341" s="1"/>
      <c r="Y341" s="1"/>
      <c r="Z341" s="1"/>
      <c r="AA341" s="1"/>
      <c r="AB341" s="1" t="s">
        <v>3</v>
      </c>
      <c r="AC341" s="1" t="s">
        <v>3</v>
      </c>
      <c r="AD341" s="1" t="s">
        <v>3</v>
      </c>
      <c r="AE341" s="1" t="s">
        <v>3</v>
      </c>
      <c r="AF341" s="1" t="s">
        <v>3</v>
      </c>
      <c r="AG341" s="1" t="s">
        <v>3</v>
      </c>
      <c r="AH341" s="1"/>
      <c r="AI341" s="1"/>
      <c r="AJ341" s="1"/>
      <c r="AK341" s="1"/>
      <c r="AL341" s="1"/>
      <c r="AM341" s="1"/>
      <c r="AN341" s="1"/>
      <c r="AO341" s="1"/>
      <c r="AP341" s="1" t="s">
        <v>3</v>
      </c>
      <c r="AQ341" s="1" t="s">
        <v>3</v>
      </c>
      <c r="AR341" s="1" t="s">
        <v>3</v>
      </c>
      <c r="AS341" s="1"/>
      <c r="AT341" s="1"/>
      <c r="AU341" s="1"/>
      <c r="AV341" s="1"/>
      <c r="AW341" s="1"/>
      <c r="AX341" s="1"/>
      <c r="AY341" s="1"/>
      <c r="AZ341" s="1" t="s">
        <v>3</v>
      </c>
      <c r="BA341" s="1"/>
      <c r="BB341" s="1" t="s">
        <v>3</v>
      </c>
      <c r="BC341" s="1" t="s">
        <v>3</v>
      </c>
      <c r="BD341" s="1" t="s">
        <v>3</v>
      </c>
      <c r="BE341" s="1" t="s">
        <v>3</v>
      </c>
      <c r="BF341" s="1" t="s">
        <v>3</v>
      </c>
      <c r="BG341" s="1" t="s">
        <v>3</v>
      </c>
      <c r="BH341" s="1" t="s">
        <v>3</v>
      </c>
      <c r="BI341" s="1" t="s">
        <v>3</v>
      </c>
      <c r="BJ341" s="1" t="s">
        <v>3</v>
      </c>
      <c r="BK341" s="1" t="s">
        <v>3</v>
      </c>
      <c r="BL341" s="1" t="s">
        <v>3</v>
      </c>
      <c r="BM341" s="1" t="s">
        <v>3</v>
      </c>
      <c r="BN341" s="1" t="s">
        <v>3</v>
      </c>
      <c r="BO341" s="1" t="s">
        <v>3</v>
      </c>
      <c r="BP341" s="1" t="s">
        <v>3</v>
      </c>
      <c r="BQ341" s="1"/>
      <c r="BR341" s="1"/>
      <c r="BS341" s="1"/>
      <c r="BT341" s="1"/>
      <c r="BU341" s="1"/>
      <c r="BV341" s="1"/>
      <c r="BW341" s="1"/>
      <c r="BX341" s="1">
        <v>0</v>
      </c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>
        <v>0</v>
      </c>
    </row>
    <row r="343" spans="1:245" x14ac:dyDescent="0.2">
      <c r="A343" s="2">
        <v>52</v>
      </c>
      <c r="B343" s="2">
        <f t="shared" ref="B343:G343" si="290">B360</f>
        <v>1</v>
      </c>
      <c r="C343" s="2">
        <f t="shared" si="290"/>
        <v>5</v>
      </c>
      <c r="D343" s="2">
        <f t="shared" si="290"/>
        <v>341</v>
      </c>
      <c r="E343" s="2">
        <f t="shared" si="290"/>
        <v>0</v>
      </c>
      <c r="F343" s="2" t="str">
        <f t="shared" si="290"/>
        <v>Новый подраздел</v>
      </c>
      <c r="G343" s="2" t="str">
        <f t="shared" si="290"/>
        <v>Техническое  обслуживание годовое</v>
      </c>
      <c r="H343" s="2"/>
      <c r="I343" s="2"/>
      <c r="J343" s="2"/>
      <c r="K343" s="2"/>
      <c r="L343" s="2"/>
      <c r="M343" s="2"/>
      <c r="N343" s="2"/>
      <c r="O343" s="2">
        <f t="shared" ref="O343:AT343" si="291">O360</f>
        <v>25212.7</v>
      </c>
      <c r="P343" s="2">
        <f t="shared" si="291"/>
        <v>201.73</v>
      </c>
      <c r="Q343" s="2">
        <f t="shared" si="291"/>
        <v>3577.12</v>
      </c>
      <c r="R343" s="2">
        <f t="shared" si="291"/>
        <v>1940.32</v>
      </c>
      <c r="S343" s="2">
        <f t="shared" si="291"/>
        <v>21433.85</v>
      </c>
      <c r="T343" s="2">
        <f t="shared" si="291"/>
        <v>0</v>
      </c>
      <c r="U343" s="2">
        <f t="shared" si="291"/>
        <v>32.9985</v>
      </c>
      <c r="V343" s="2">
        <f t="shared" si="291"/>
        <v>0</v>
      </c>
      <c r="W343" s="2">
        <f t="shared" si="291"/>
        <v>0</v>
      </c>
      <c r="X343" s="2">
        <f t="shared" si="291"/>
        <v>15003.71</v>
      </c>
      <c r="Y343" s="2">
        <f t="shared" si="291"/>
        <v>2143.39</v>
      </c>
      <c r="Z343" s="2">
        <f t="shared" si="291"/>
        <v>0</v>
      </c>
      <c r="AA343" s="2">
        <f t="shared" si="291"/>
        <v>0</v>
      </c>
      <c r="AB343" s="2">
        <f t="shared" si="291"/>
        <v>25212.7</v>
      </c>
      <c r="AC343" s="2">
        <f t="shared" si="291"/>
        <v>201.73</v>
      </c>
      <c r="AD343" s="2">
        <f t="shared" si="291"/>
        <v>3577.12</v>
      </c>
      <c r="AE343" s="2">
        <f t="shared" si="291"/>
        <v>1940.32</v>
      </c>
      <c r="AF343" s="2">
        <f t="shared" si="291"/>
        <v>21433.85</v>
      </c>
      <c r="AG343" s="2">
        <f t="shared" si="291"/>
        <v>0</v>
      </c>
      <c r="AH343" s="2">
        <f t="shared" si="291"/>
        <v>32.9985</v>
      </c>
      <c r="AI343" s="2">
        <f t="shared" si="291"/>
        <v>0</v>
      </c>
      <c r="AJ343" s="2">
        <f t="shared" si="291"/>
        <v>0</v>
      </c>
      <c r="AK343" s="2">
        <f t="shared" si="291"/>
        <v>15003.71</v>
      </c>
      <c r="AL343" s="2">
        <f t="shared" si="291"/>
        <v>2143.39</v>
      </c>
      <c r="AM343" s="2">
        <f t="shared" si="291"/>
        <v>0</v>
      </c>
      <c r="AN343" s="2">
        <f t="shared" si="291"/>
        <v>0</v>
      </c>
      <c r="AO343" s="2">
        <f t="shared" si="291"/>
        <v>0</v>
      </c>
      <c r="AP343" s="2">
        <f t="shared" si="291"/>
        <v>0</v>
      </c>
      <c r="AQ343" s="2">
        <f t="shared" si="291"/>
        <v>0</v>
      </c>
      <c r="AR343" s="2">
        <f t="shared" si="291"/>
        <v>44455.35</v>
      </c>
      <c r="AS343" s="2">
        <f t="shared" si="291"/>
        <v>0</v>
      </c>
      <c r="AT343" s="2">
        <f t="shared" si="291"/>
        <v>0</v>
      </c>
      <c r="AU343" s="2">
        <f t="shared" ref="AU343:BZ343" si="292">AU360</f>
        <v>44455.35</v>
      </c>
      <c r="AV343" s="2">
        <f t="shared" si="292"/>
        <v>201.73</v>
      </c>
      <c r="AW343" s="2">
        <f t="shared" si="292"/>
        <v>201.73</v>
      </c>
      <c r="AX343" s="2">
        <f t="shared" si="292"/>
        <v>0</v>
      </c>
      <c r="AY343" s="2">
        <f t="shared" si="292"/>
        <v>201.73</v>
      </c>
      <c r="AZ343" s="2">
        <f t="shared" si="292"/>
        <v>0</v>
      </c>
      <c r="BA343" s="2">
        <f t="shared" si="292"/>
        <v>0</v>
      </c>
      <c r="BB343" s="2">
        <f t="shared" si="292"/>
        <v>0</v>
      </c>
      <c r="BC343" s="2">
        <f t="shared" si="292"/>
        <v>0</v>
      </c>
      <c r="BD343" s="2">
        <f t="shared" si="292"/>
        <v>0</v>
      </c>
      <c r="BE343" s="2">
        <f t="shared" si="292"/>
        <v>0</v>
      </c>
      <c r="BF343" s="2">
        <f t="shared" si="292"/>
        <v>0</v>
      </c>
      <c r="BG343" s="2">
        <f t="shared" si="292"/>
        <v>0</v>
      </c>
      <c r="BH343" s="2">
        <f t="shared" si="292"/>
        <v>0</v>
      </c>
      <c r="BI343" s="2">
        <f t="shared" si="292"/>
        <v>0</v>
      </c>
      <c r="BJ343" s="2">
        <f t="shared" si="292"/>
        <v>0</v>
      </c>
      <c r="BK343" s="2">
        <f t="shared" si="292"/>
        <v>0</v>
      </c>
      <c r="BL343" s="2">
        <f t="shared" si="292"/>
        <v>0</v>
      </c>
      <c r="BM343" s="2">
        <f t="shared" si="292"/>
        <v>0</v>
      </c>
      <c r="BN343" s="2">
        <f t="shared" si="292"/>
        <v>0</v>
      </c>
      <c r="BO343" s="2">
        <f t="shared" si="292"/>
        <v>0</v>
      </c>
      <c r="BP343" s="2">
        <f t="shared" si="292"/>
        <v>0</v>
      </c>
      <c r="BQ343" s="2">
        <f t="shared" si="292"/>
        <v>0</v>
      </c>
      <c r="BR343" s="2">
        <f t="shared" si="292"/>
        <v>0</v>
      </c>
      <c r="BS343" s="2">
        <f t="shared" si="292"/>
        <v>0</v>
      </c>
      <c r="BT343" s="2">
        <f t="shared" si="292"/>
        <v>0</v>
      </c>
      <c r="BU343" s="2">
        <f t="shared" si="292"/>
        <v>0</v>
      </c>
      <c r="BV343" s="2">
        <f t="shared" si="292"/>
        <v>0</v>
      </c>
      <c r="BW343" s="2">
        <f t="shared" si="292"/>
        <v>0</v>
      </c>
      <c r="BX343" s="2">
        <f t="shared" si="292"/>
        <v>0</v>
      </c>
      <c r="BY343" s="2">
        <f t="shared" si="292"/>
        <v>0</v>
      </c>
      <c r="BZ343" s="2">
        <f t="shared" si="292"/>
        <v>0</v>
      </c>
      <c r="CA343" s="2">
        <f t="shared" ref="CA343:DF343" si="293">CA360</f>
        <v>44455.35</v>
      </c>
      <c r="CB343" s="2">
        <f t="shared" si="293"/>
        <v>0</v>
      </c>
      <c r="CC343" s="2">
        <f t="shared" si="293"/>
        <v>0</v>
      </c>
      <c r="CD343" s="2">
        <f t="shared" si="293"/>
        <v>44455.35</v>
      </c>
      <c r="CE343" s="2">
        <f t="shared" si="293"/>
        <v>201.73</v>
      </c>
      <c r="CF343" s="2">
        <f t="shared" si="293"/>
        <v>201.73</v>
      </c>
      <c r="CG343" s="2">
        <f t="shared" si="293"/>
        <v>0</v>
      </c>
      <c r="CH343" s="2">
        <f t="shared" si="293"/>
        <v>201.73</v>
      </c>
      <c r="CI343" s="2">
        <f t="shared" si="293"/>
        <v>0</v>
      </c>
      <c r="CJ343" s="2">
        <f t="shared" si="293"/>
        <v>0</v>
      </c>
      <c r="CK343" s="2">
        <f t="shared" si="293"/>
        <v>0</v>
      </c>
      <c r="CL343" s="2">
        <f t="shared" si="293"/>
        <v>0</v>
      </c>
      <c r="CM343" s="2">
        <f t="shared" si="293"/>
        <v>0</v>
      </c>
      <c r="CN343" s="2">
        <f t="shared" si="293"/>
        <v>0</v>
      </c>
      <c r="CO343" s="2">
        <f t="shared" si="293"/>
        <v>0</v>
      </c>
      <c r="CP343" s="2">
        <f t="shared" si="293"/>
        <v>0</v>
      </c>
      <c r="CQ343" s="2">
        <f t="shared" si="293"/>
        <v>0</v>
      </c>
      <c r="CR343" s="2">
        <f t="shared" si="293"/>
        <v>0</v>
      </c>
      <c r="CS343" s="2">
        <f t="shared" si="293"/>
        <v>0</v>
      </c>
      <c r="CT343" s="2">
        <f t="shared" si="293"/>
        <v>0</v>
      </c>
      <c r="CU343" s="2">
        <f t="shared" si="293"/>
        <v>0</v>
      </c>
      <c r="CV343" s="2">
        <f t="shared" si="293"/>
        <v>0</v>
      </c>
      <c r="CW343" s="2">
        <f t="shared" si="293"/>
        <v>0</v>
      </c>
      <c r="CX343" s="2">
        <f t="shared" si="293"/>
        <v>0</v>
      </c>
      <c r="CY343" s="2">
        <f t="shared" si="293"/>
        <v>0</v>
      </c>
      <c r="CZ343" s="2">
        <f t="shared" si="293"/>
        <v>0</v>
      </c>
      <c r="DA343" s="2">
        <f t="shared" si="293"/>
        <v>0</v>
      </c>
      <c r="DB343" s="2">
        <f t="shared" si="293"/>
        <v>0</v>
      </c>
      <c r="DC343" s="2">
        <f t="shared" si="293"/>
        <v>0</v>
      </c>
      <c r="DD343" s="2">
        <f t="shared" si="293"/>
        <v>0</v>
      </c>
      <c r="DE343" s="2">
        <f t="shared" si="293"/>
        <v>0</v>
      </c>
      <c r="DF343" s="2">
        <f t="shared" si="293"/>
        <v>0</v>
      </c>
      <c r="DG343" s="3">
        <f t="shared" ref="DG343:EL343" si="294">DG360</f>
        <v>0</v>
      </c>
      <c r="DH343" s="3">
        <f t="shared" si="294"/>
        <v>0</v>
      </c>
      <c r="DI343" s="3">
        <f t="shared" si="294"/>
        <v>0</v>
      </c>
      <c r="DJ343" s="3">
        <f t="shared" si="294"/>
        <v>0</v>
      </c>
      <c r="DK343" s="3">
        <f t="shared" si="294"/>
        <v>0</v>
      </c>
      <c r="DL343" s="3">
        <f t="shared" si="294"/>
        <v>0</v>
      </c>
      <c r="DM343" s="3">
        <f t="shared" si="294"/>
        <v>0</v>
      </c>
      <c r="DN343" s="3">
        <f t="shared" si="294"/>
        <v>0</v>
      </c>
      <c r="DO343" s="3">
        <f t="shared" si="294"/>
        <v>0</v>
      </c>
      <c r="DP343" s="3">
        <f t="shared" si="294"/>
        <v>0</v>
      </c>
      <c r="DQ343" s="3">
        <f t="shared" si="294"/>
        <v>0</v>
      </c>
      <c r="DR343" s="3">
        <f t="shared" si="294"/>
        <v>0</v>
      </c>
      <c r="DS343" s="3">
        <f t="shared" si="294"/>
        <v>0</v>
      </c>
      <c r="DT343" s="3">
        <f t="shared" si="294"/>
        <v>0</v>
      </c>
      <c r="DU343" s="3">
        <f t="shared" si="294"/>
        <v>0</v>
      </c>
      <c r="DV343" s="3">
        <f t="shared" si="294"/>
        <v>0</v>
      </c>
      <c r="DW343" s="3">
        <f t="shared" si="294"/>
        <v>0</v>
      </c>
      <c r="DX343" s="3">
        <f t="shared" si="294"/>
        <v>0</v>
      </c>
      <c r="DY343" s="3">
        <f t="shared" si="294"/>
        <v>0</v>
      </c>
      <c r="DZ343" s="3">
        <f t="shared" si="294"/>
        <v>0</v>
      </c>
      <c r="EA343" s="3">
        <f t="shared" si="294"/>
        <v>0</v>
      </c>
      <c r="EB343" s="3">
        <f t="shared" si="294"/>
        <v>0</v>
      </c>
      <c r="EC343" s="3">
        <f t="shared" si="294"/>
        <v>0</v>
      </c>
      <c r="ED343" s="3">
        <f t="shared" si="294"/>
        <v>0</v>
      </c>
      <c r="EE343" s="3">
        <f t="shared" si="294"/>
        <v>0</v>
      </c>
      <c r="EF343" s="3">
        <f t="shared" si="294"/>
        <v>0</v>
      </c>
      <c r="EG343" s="3">
        <f t="shared" si="294"/>
        <v>0</v>
      </c>
      <c r="EH343" s="3">
        <f t="shared" si="294"/>
        <v>0</v>
      </c>
      <c r="EI343" s="3">
        <f t="shared" si="294"/>
        <v>0</v>
      </c>
      <c r="EJ343" s="3">
        <f t="shared" si="294"/>
        <v>0</v>
      </c>
      <c r="EK343" s="3">
        <f t="shared" si="294"/>
        <v>0</v>
      </c>
      <c r="EL343" s="3">
        <f t="shared" si="294"/>
        <v>0</v>
      </c>
      <c r="EM343" s="3">
        <f t="shared" ref="EM343:FR343" si="295">EM360</f>
        <v>0</v>
      </c>
      <c r="EN343" s="3">
        <f t="shared" si="295"/>
        <v>0</v>
      </c>
      <c r="EO343" s="3">
        <f t="shared" si="295"/>
        <v>0</v>
      </c>
      <c r="EP343" s="3">
        <f t="shared" si="295"/>
        <v>0</v>
      </c>
      <c r="EQ343" s="3">
        <f t="shared" si="295"/>
        <v>0</v>
      </c>
      <c r="ER343" s="3">
        <f t="shared" si="295"/>
        <v>0</v>
      </c>
      <c r="ES343" s="3">
        <f t="shared" si="295"/>
        <v>0</v>
      </c>
      <c r="ET343" s="3">
        <f t="shared" si="295"/>
        <v>0</v>
      </c>
      <c r="EU343" s="3">
        <f t="shared" si="295"/>
        <v>0</v>
      </c>
      <c r="EV343" s="3">
        <f t="shared" si="295"/>
        <v>0</v>
      </c>
      <c r="EW343" s="3">
        <f t="shared" si="295"/>
        <v>0</v>
      </c>
      <c r="EX343" s="3">
        <f t="shared" si="295"/>
        <v>0</v>
      </c>
      <c r="EY343" s="3">
        <f t="shared" si="295"/>
        <v>0</v>
      </c>
      <c r="EZ343" s="3">
        <f t="shared" si="295"/>
        <v>0</v>
      </c>
      <c r="FA343" s="3">
        <f t="shared" si="295"/>
        <v>0</v>
      </c>
      <c r="FB343" s="3">
        <f t="shared" si="295"/>
        <v>0</v>
      </c>
      <c r="FC343" s="3">
        <f t="shared" si="295"/>
        <v>0</v>
      </c>
      <c r="FD343" s="3">
        <f t="shared" si="295"/>
        <v>0</v>
      </c>
      <c r="FE343" s="3">
        <f t="shared" si="295"/>
        <v>0</v>
      </c>
      <c r="FF343" s="3">
        <f t="shared" si="295"/>
        <v>0</v>
      </c>
      <c r="FG343" s="3">
        <f t="shared" si="295"/>
        <v>0</v>
      </c>
      <c r="FH343" s="3">
        <f t="shared" si="295"/>
        <v>0</v>
      </c>
      <c r="FI343" s="3">
        <f t="shared" si="295"/>
        <v>0</v>
      </c>
      <c r="FJ343" s="3">
        <f t="shared" si="295"/>
        <v>0</v>
      </c>
      <c r="FK343" s="3">
        <f t="shared" si="295"/>
        <v>0</v>
      </c>
      <c r="FL343" s="3">
        <f t="shared" si="295"/>
        <v>0</v>
      </c>
      <c r="FM343" s="3">
        <f t="shared" si="295"/>
        <v>0</v>
      </c>
      <c r="FN343" s="3">
        <f t="shared" si="295"/>
        <v>0</v>
      </c>
      <c r="FO343" s="3">
        <f t="shared" si="295"/>
        <v>0</v>
      </c>
      <c r="FP343" s="3">
        <f t="shared" si="295"/>
        <v>0</v>
      </c>
      <c r="FQ343" s="3">
        <f t="shared" si="295"/>
        <v>0</v>
      </c>
      <c r="FR343" s="3">
        <f t="shared" si="295"/>
        <v>0</v>
      </c>
      <c r="FS343" s="3">
        <f t="shared" ref="FS343:GX343" si="296">FS360</f>
        <v>0</v>
      </c>
      <c r="FT343" s="3">
        <f t="shared" si="296"/>
        <v>0</v>
      </c>
      <c r="FU343" s="3">
        <f t="shared" si="296"/>
        <v>0</v>
      </c>
      <c r="FV343" s="3">
        <f t="shared" si="296"/>
        <v>0</v>
      </c>
      <c r="FW343" s="3">
        <f t="shared" si="296"/>
        <v>0</v>
      </c>
      <c r="FX343" s="3">
        <f t="shared" si="296"/>
        <v>0</v>
      </c>
      <c r="FY343" s="3">
        <f t="shared" si="296"/>
        <v>0</v>
      </c>
      <c r="FZ343" s="3">
        <f t="shared" si="296"/>
        <v>0</v>
      </c>
      <c r="GA343" s="3">
        <f t="shared" si="296"/>
        <v>0</v>
      </c>
      <c r="GB343" s="3">
        <f t="shared" si="296"/>
        <v>0</v>
      </c>
      <c r="GC343" s="3">
        <f t="shared" si="296"/>
        <v>0</v>
      </c>
      <c r="GD343" s="3">
        <f t="shared" si="296"/>
        <v>0</v>
      </c>
      <c r="GE343" s="3">
        <f t="shared" si="296"/>
        <v>0</v>
      </c>
      <c r="GF343" s="3">
        <f t="shared" si="296"/>
        <v>0</v>
      </c>
      <c r="GG343" s="3">
        <f t="shared" si="296"/>
        <v>0</v>
      </c>
      <c r="GH343" s="3">
        <f t="shared" si="296"/>
        <v>0</v>
      </c>
      <c r="GI343" s="3">
        <f t="shared" si="296"/>
        <v>0</v>
      </c>
      <c r="GJ343" s="3">
        <f t="shared" si="296"/>
        <v>0</v>
      </c>
      <c r="GK343" s="3">
        <f t="shared" si="296"/>
        <v>0</v>
      </c>
      <c r="GL343" s="3">
        <f t="shared" si="296"/>
        <v>0</v>
      </c>
      <c r="GM343" s="3">
        <f t="shared" si="296"/>
        <v>0</v>
      </c>
      <c r="GN343" s="3">
        <f t="shared" si="296"/>
        <v>0</v>
      </c>
      <c r="GO343" s="3">
        <f t="shared" si="296"/>
        <v>0</v>
      </c>
      <c r="GP343" s="3">
        <f t="shared" si="296"/>
        <v>0</v>
      </c>
      <c r="GQ343" s="3">
        <f t="shared" si="296"/>
        <v>0</v>
      </c>
      <c r="GR343" s="3">
        <f t="shared" si="296"/>
        <v>0</v>
      </c>
      <c r="GS343" s="3">
        <f t="shared" si="296"/>
        <v>0</v>
      </c>
      <c r="GT343" s="3">
        <f t="shared" si="296"/>
        <v>0</v>
      </c>
      <c r="GU343" s="3">
        <f t="shared" si="296"/>
        <v>0</v>
      </c>
      <c r="GV343" s="3">
        <f t="shared" si="296"/>
        <v>0</v>
      </c>
      <c r="GW343" s="3">
        <f t="shared" si="296"/>
        <v>0</v>
      </c>
      <c r="GX343" s="3">
        <f t="shared" si="296"/>
        <v>0</v>
      </c>
    </row>
    <row r="345" spans="1:245" x14ac:dyDescent="0.2">
      <c r="A345">
        <v>17</v>
      </c>
      <c r="B345">
        <v>1</v>
      </c>
      <c r="D345">
        <f>ROW(EtalonRes!A170)</f>
        <v>170</v>
      </c>
      <c r="E345" t="s">
        <v>3</v>
      </c>
      <c r="F345" t="s">
        <v>312</v>
      </c>
      <c r="G345" t="s">
        <v>313</v>
      </c>
      <c r="H345" t="s">
        <v>314</v>
      </c>
      <c r="I345">
        <v>1</v>
      </c>
      <c r="J345">
        <v>0</v>
      </c>
      <c r="K345">
        <v>1</v>
      </c>
      <c r="O345">
        <f>ROUND(CP345,2)</f>
        <v>222537.01</v>
      </c>
      <c r="P345">
        <f>ROUND(CQ345*I345,2)</f>
        <v>12192.26</v>
      </c>
      <c r="Q345">
        <f>ROUND(CR345*I345,2)</f>
        <v>0</v>
      </c>
      <c r="R345">
        <f>ROUND(CS345*I345,2)</f>
        <v>0</v>
      </c>
      <c r="S345">
        <f>ROUND(CT345*I345,2)</f>
        <v>210344.75</v>
      </c>
      <c r="T345">
        <f>ROUND(CU345*I345,2)</f>
        <v>0</v>
      </c>
      <c r="U345">
        <f>CV345*I345</f>
        <v>369</v>
      </c>
      <c r="V345">
        <f>CW345*I345</f>
        <v>0</v>
      </c>
      <c r="W345">
        <f>ROUND(CX345*I345,2)</f>
        <v>0</v>
      </c>
      <c r="X345">
        <f t="shared" ref="X345:Y349" si="297">ROUND(CY345,2)</f>
        <v>147241.32999999999</v>
      </c>
      <c r="Y345">
        <f t="shared" si="297"/>
        <v>21034.48</v>
      </c>
      <c r="AA345">
        <v>-1</v>
      </c>
      <c r="AB345">
        <f>ROUND((AC345+AD345+AF345),6)</f>
        <v>222537.01</v>
      </c>
      <c r="AC345">
        <f>ROUND((((ES345/12)*4)),6)</f>
        <v>12192.256667</v>
      </c>
      <c r="AD345">
        <f>ROUND((((((ET345/12)*4))-(((EU345/12)*4)))+AE345),6)</f>
        <v>0</v>
      </c>
      <c r="AE345">
        <f>ROUND((((EU345/12)*4)),6)</f>
        <v>0</v>
      </c>
      <c r="AF345">
        <f>ROUND((((EV345/12)*4)),6)</f>
        <v>210344.753333</v>
      </c>
      <c r="AG345">
        <f>ROUND((AP345),6)</f>
        <v>0</v>
      </c>
      <c r="AH345">
        <f>(((EW345/12)*4))</f>
        <v>369</v>
      </c>
      <c r="AI345">
        <f>(((EX345/12)*4))</f>
        <v>0</v>
      </c>
      <c r="AJ345">
        <f>(AS345)</f>
        <v>0</v>
      </c>
      <c r="AK345">
        <v>667611.03</v>
      </c>
      <c r="AL345">
        <v>36576.769999999997</v>
      </c>
      <c r="AM345">
        <v>0</v>
      </c>
      <c r="AN345">
        <v>0</v>
      </c>
      <c r="AO345">
        <v>631034.26</v>
      </c>
      <c r="AP345">
        <v>0</v>
      </c>
      <c r="AQ345">
        <v>1107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315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>(P345+Q345+S345)</f>
        <v>222537.01</v>
      </c>
      <c r="CQ345">
        <f>(AC345*BC345*AW345)</f>
        <v>12192.256667</v>
      </c>
      <c r="CR345">
        <f>((((((ET345/12)*4))*BB345-(((EU345/12)*4))*BS345)+AE345*BS345)*AV345)</f>
        <v>0</v>
      </c>
      <c r="CS345">
        <f>(AE345*BS345*AV345)</f>
        <v>0</v>
      </c>
      <c r="CT345">
        <f>(AF345*BA345*AV345)</f>
        <v>210344.753333</v>
      </c>
      <c r="CU345">
        <f>AG345</f>
        <v>0</v>
      </c>
      <c r="CV345">
        <f>(AH345*AV345)</f>
        <v>369</v>
      </c>
      <c r="CW345">
        <f t="shared" ref="CW345:CX349" si="298">AI345</f>
        <v>0</v>
      </c>
      <c r="CX345">
        <f t="shared" si="298"/>
        <v>0</v>
      </c>
      <c r="CY345">
        <f>((S345*BZ345)/100)</f>
        <v>147241.32500000001</v>
      </c>
      <c r="CZ345">
        <f>((S345*CA345)/100)</f>
        <v>21034.474999999999</v>
      </c>
      <c r="DC345" t="s">
        <v>3</v>
      </c>
      <c r="DD345" t="s">
        <v>290</v>
      </c>
      <c r="DE345" t="s">
        <v>290</v>
      </c>
      <c r="DF345" t="s">
        <v>290</v>
      </c>
      <c r="DG345" t="s">
        <v>290</v>
      </c>
      <c r="DH345" t="s">
        <v>3</v>
      </c>
      <c r="DI345" t="s">
        <v>290</v>
      </c>
      <c r="DJ345" t="s">
        <v>290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1013</v>
      </c>
      <c r="DV345" t="s">
        <v>314</v>
      </c>
      <c r="DW345" t="s">
        <v>314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1364533919</v>
      </c>
      <c r="EF345">
        <v>1</v>
      </c>
      <c r="EG345" t="s">
        <v>21</v>
      </c>
      <c r="EH345">
        <v>0</v>
      </c>
      <c r="EI345" t="s">
        <v>3</v>
      </c>
      <c r="EJ345">
        <v>4</v>
      </c>
      <c r="EK345">
        <v>0</v>
      </c>
      <c r="EL345" t="s">
        <v>22</v>
      </c>
      <c r="EM345" t="s">
        <v>23</v>
      </c>
      <c r="EO345" t="s">
        <v>3</v>
      </c>
      <c r="EQ345">
        <v>1049600</v>
      </c>
      <c r="ER345">
        <v>667611.03</v>
      </c>
      <c r="ES345">
        <v>36576.769999999997</v>
      </c>
      <c r="ET345">
        <v>0</v>
      </c>
      <c r="EU345">
        <v>0</v>
      </c>
      <c r="EV345">
        <v>631034.26</v>
      </c>
      <c r="EW345">
        <v>1107</v>
      </c>
      <c r="EX345">
        <v>0</v>
      </c>
      <c r="EY345">
        <v>0</v>
      </c>
      <c r="FQ345">
        <v>0</v>
      </c>
      <c r="FR345">
        <f>ROUND(IF(BI345=3,GM345,0),2)</f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-295699951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</v>
      </c>
      <c r="GL345">
        <f>ROUND(IF(AND(BH345=3,BI345=3,FS345&lt;&gt;0),P345,0),2)</f>
        <v>0</v>
      </c>
      <c r="GM345">
        <f>ROUND(O345+X345+Y345+GK345,2)+GX345</f>
        <v>390812.82</v>
      </c>
      <c r="GN345">
        <f>IF(OR(BI345=0,BI345=1),ROUND(O345+X345+Y345+GK345,2),0)</f>
        <v>0</v>
      </c>
      <c r="GO345">
        <f>IF(BI345=2,ROUND(O345+X345+Y345+GK345,2),0)</f>
        <v>0</v>
      </c>
      <c r="GP345">
        <f>IF(BI345=4,ROUND(O345+X345+Y345+GK345,2)+GX345,0)</f>
        <v>390812.82</v>
      </c>
      <c r="GR345">
        <v>0</v>
      </c>
      <c r="GS345">
        <v>3</v>
      </c>
      <c r="GT345">
        <v>0</v>
      </c>
      <c r="GU345" t="s">
        <v>3</v>
      </c>
      <c r="GV345">
        <f>ROUND((GT345),6)</f>
        <v>0</v>
      </c>
      <c r="GW345">
        <v>1</v>
      </c>
      <c r="GX345">
        <f>ROUND(HC345*I345,2)</f>
        <v>0</v>
      </c>
      <c r="HA345">
        <v>0</v>
      </c>
      <c r="HB345">
        <v>0</v>
      </c>
      <c r="HC345">
        <f>GV345*GW345</f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ROW(EtalonRes!A174)</f>
        <v>174</v>
      </c>
      <c r="E346" t="s">
        <v>3</v>
      </c>
      <c r="F346" t="s">
        <v>316</v>
      </c>
      <c r="G346" t="s">
        <v>317</v>
      </c>
      <c r="H346" t="s">
        <v>42</v>
      </c>
      <c r="I346">
        <v>1</v>
      </c>
      <c r="J346">
        <v>0</v>
      </c>
      <c r="K346">
        <v>1</v>
      </c>
      <c r="O346">
        <f>ROUND(CP346,2)</f>
        <v>10021.57</v>
      </c>
      <c r="P346">
        <f>ROUND(CQ346*I346,2)</f>
        <v>122.12</v>
      </c>
      <c r="Q346">
        <f>ROUND(CR346*I346,2)</f>
        <v>0</v>
      </c>
      <c r="R346">
        <f>ROUND(CS346*I346,2)</f>
        <v>0</v>
      </c>
      <c r="S346">
        <f>ROUND(CT346*I346,2)</f>
        <v>9899.4500000000007</v>
      </c>
      <c r="T346">
        <f>ROUND(CU346*I346,2)</f>
        <v>0</v>
      </c>
      <c r="U346">
        <f>CV346*I346</f>
        <v>17.34</v>
      </c>
      <c r="V346">
        <f>CW346*I346</f>
        <v>0</v>
      </c>
      <c r="W346">
        <f>ROUND(CX346*I346,2)</f>
        <v>0</v>
      </c>
      <c r="X346">
        <f t="shared" si="297"/>
        <v>6929.62</v>
      </c>
      <c r="Y346">
        <f t="shared" si="297"/>
        <v>989.95</v>
      </c>
      <c r="AA346">
        <v>-1</v>
      </c>
      <c r="AB346">
        <f>ROUND((AC346+AD346+AF346),6)</f>
        <v>10021.57</v>
      </c>
      <c r="AC346">
        <f>ROUND((ES346),6)</f>
        <v>122.12</v>
      </c>
      <c r="AD346">
        <f>ROUND((((ET346)-(EU346))+AE346),6)</f>
        <v>0</v>
      </c>
      <c r="AE346">
        <f>ROUND((EU346),6)</f>
        <v>0</v>
      </c>
      <c r="AF346">
        <f>ROUND((EV346),6)</f>
        <v>9899.4500000000007</v>
      </c>
      <c r="AG346">
        <f>ROUND((AP346),6)</f>
        <v>0</v>
      </c>
      <c r="AH346">
        <f>(EW346)</f>
        <v>17.34</v>
      </c>
      <c r="AI346">
        <f>(EX346)</f>
        <v>0</v>
      </c>
      <c r="AJ346">
        <f>(AS346)</f>
        <v>0</v>
      </c>
      <c r="AK346">
        <v>10021.57</v>
      </c>
      <c r="AL346">
        <v>122.12</v>
      </c>
      <c r="AM346">
        <v>0</v>
      </c>
      <c r="AN346">
        <v>0</v>
      </c>
      <c r="AO346">
        <v>9899.4500000000007</v>
      </c>
      <c r="AP346">
        <v>0</v>
      </c>
      <c r="AQ346">
        <v>17.34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318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>(P346+Q346+S346)</f>
        <v>10021.570000000002</v>
      </c>
      <c r="CQ346">
        <f>(AC346*BC346*AW346)</f>
        <v>122.12</v>
      </c>
      <c r="CR346">
        <f>((((ET346)*BB346-(EU346)*BS346)+AE346*BS346)*AV346)</f>
        <v>0</v>
      </c>
      <c r="CS346">
        <f>(AE346*BS346*AV346)</f>
        <v>0</v>
      </c>
      <c r="CT346">
        <f>(AF346*BA346*AV346)</f>
        <v>9899.4500000000007</v>
      </c>
      <c r="CU346">
        <f>AG346</f>
        <v>0</v>
      </c>
      <c r="CV346">
        <f>(AH346*AV346)</f>
        <v>17.34</v>
      </c>
      <c r="CW346">
        <f t="shared" si="298"/>
        <v>0</v>
      </c>
      <c r="CX346">
        <f t="shared" si="298"/>
        <v>0</v>
      </c>
      <c r="CY346">
        <f>((S346*BZ346)/100)</f>
        <v>6929.6149999999998</v>
      </c>
      <c r="CZ346">
        <f>((S346*CA346)/100)</f>
        <v>989.94500000000005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16987630</v>
      </c>
      <c r="DV346" t="s">
        <v>42</v>
      </c>
      <c r="DW346" t="s">
        <v>42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1364533919</v>
      </c>
      <c r="EF346">
        <v>1</v>
      </c>
      <c r="EG346" t="s">
        <v>21</v>
      </c>
      <c r="EH346">
        <v>0</v>
      </c>
      <c r="EI346" t="s">
        <v>3</v>
      </c>
      <c r="EJ346">
        <v>4</v>
      </c>
      <c r="EK346">
        <v>0</v>
      </c>
      <c r="EL346" t="s">
        <v>22</v>
      </c>
      <c r="EM346" t="s">
        <v>23</v>
      </c>
      <c r="EO346" t="s">
        <v>3</v>
      </c>
      <c r="EQ346">
        <v>1024</v>
      </c>
      <c r="ER346">
        <v>10021.57</v>
      </c>
      <c r="ES346">
        <v>122.12</v>
      </c>
      <c r="ET346">
        <v>0</v>
      </c>
      <c r="EU346">
        <v>0</v>
      </c>
      <c r="EV346">
        <v>9899.4500000000007</v>
      </c>
      <c r="EW346">
        <v>17.34</v>
      </c>
      <c r="EX346">
        <v>0</v>
      </c>
      <c r="EY346">
        <v>0</v>
      </c>
      <c r="FQ346">
        <v>0</v>
      </c>
      <c r="FR346">
        <f>ROUND(IF(BI346=3,GM346,0),2)</f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-376283931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>ROUND(IF(AND(BH346=3,BI346=3,FS346&lt;&gt;0),P346,0),2)</f>
        <v>0</v>
      </c>
      <c r="GM346">
        <f>ROUND(O346+X346+Y346+GK346,2)+GX346</f>
        <v>17941.14</v>
      </c>
      <c r="GN346">
        <f>IF(OR(BI346=0,BI346=1),ROUND(O346+X346+Y346+GK346,2),0)</f>
        <v>0</v>
      </c>
      <c r="GO346">
        <f>IF(BI346=2,ROUND(O346+X346+Y346+GK346,2),0)</f>
        <v>0</v>
      </c>
      <c r="GP346">
        <f>IF(BI346=4,ROUND(O346+X346+Y346+GK346,2)+GX346,0)</f>
        <v>17941.14</v>
      </c>
      <c r="GR346">
        <v>0</v>
      </c>
      <c r="GS346">
        <v>3</v>
      </c>
      <c r="GT346">
        <v>0</v>
      </c>
      <c r="GU346" t="s">
        <v>3</v>
      </c>
      <c r="GV346">
        <f>ROUND((GT346),6)</f>
        <v>0</v>
      </c>
      <c r="GW346">
        <v>1</v>
      </c>
      <c r="GX346">
        <f>ROUND(HC346*I346,2)</f>
        <v>0</v>
      </c>
      <c r="HA346">
        <v>0</v>
      </c>
      <c r="HB346">
        <v>0</v>
      </c>
      <c r="HC346">
        <f>GV346*GW346</f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ROW(EtalonRes!A175)</f>
        <v>175</v>
      </c>
      <c r="E347" t="s">
        <v>15</v>
      </c>
      <c r="F347" t="s">
        <v>319</v>
      </c>
      <c r="G347" t="s">
        <v>320</v>
      </c>
      <c r="H347" t="s">
        <v>37</v>
      </c>
      <c r="I347">
        <f>ROUND((1)/10,9)</f>
        <v>0.1</v>
      </c>
      <c r="J347">
        <v>0</v>
      </c>
      <c r="K347">
        <f>ROUND((1)/10,9)</f>
        <v>0.1</v>
      </c>
      <c r="O347">
        <f>ROUND(CP347,2)</f>
        <v>95.48</v>
      </c>
      <c r="P347">
        <f>ROUND(CQ347*I347,2)</f>
        <v>0</v>
      </c>
      <c r="Q347">
        <f>ROUND(CR347*I347,2)</f>
        <v>0</v>
      </c>
      <c r="R347">
        <f>ROUND(CS347*I347,2)</f>
        <v>0</v>
      </c>
      <c r="S347">
        <f>ROUND(CT347*I347,2)</f>
        <v>95.48</v>
      </c>
      <c r="T347">
        <f>ROUND(CU347*I347,2)</f>
        <v>0</v>
      </c>
      <c r="U347">
        <f>CV347*I347</f>
        <v>0.18000000000000002</v>
      </c>
      <c r="V347">
        <f>CW347*I347</f>
        <v>0</v>
      </c>
      <c r="W347">
        <f>ROUND(CX347*I347,2)</f>
        <v>0</v>
      </c>
      <c r="X347">
        <f t="shared" si="297"/>
        <v>66.84</v>
      </c>
      <c r="Y347">
        <f t="shared" si="297"/>
        <v>9.5500000000000007</v>
      </c>
      <c r="AA347">
        <v>1407491423</v>
      </c>
      <c r="AB347">
        <f>ROUND((AC347+AD347+AF347),6)</f>
        <v>954.8</v>
      </c>
      <c r="AC347">
        <f>ROUND(((ES347*4)),6)</f>
        <v>0</v>
      </c>
      <c r="AD347">
        <f>ROUND(((((ET347*4))-((EU347*4)))+AE347),6)</f>
        <v>0</v>
      </c>
      <c r="AE347">
        <f>ROUND(((EU347*4)),6)</f>
        <v>0</v>
      </c>
      <c r="AF347">
        <f>ROUND(((EV347*4)),6)</f>
        <v>954.8</v>
      </c>
      <c r="AG347">
        <f>ROUND((AP347),6)</f>
        <v>0</v>
      </c>
      <c r="AH347">
        <f>((EW347*4))</f>
        <v>1.8</v>
      </c>
      <c r="AI347">
        <f>((EX347*4))</f>
        <v>0</v>
      </c>
      <c r="AJ347">
        <f>(AS347)</f>
        <v>0</v>
      </c>
      <c r="AK347">
        <v>238.7</v>
      </c>
      <c r="AL347">
        <v>0</v>
      </c>
      <c r="AM347">
        <v>0</v>
      </c>
      <c r="AN347">
        <v>0</v>
      </c>
      <c r="AO347">
        <v>238.7</v>
      </c>
      <c r="AP347">
        <v>0</v>
      </c>
      <c r="AQ347">
        <v>0.45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321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>(P347+Q347+S347)</f>
        <v>95.48</v>
      </c>
      <c r="CQ347">
        <f>(AC347*BC347*AW347)</f>
        <v>0</v>
      </c>
      <c r="CR347">
        <f>(((((ET347*4))*BB347-((EU347*4))*BS347)+AE347*BS347)*AV347)</f>
        <v>0</v>
      </c>
      <c r="CS347">
        <f>(AE347*BS347*AV347)</f>
        <v>0</v>
      </c>
      <c r="CT347">
        <f>(AF347*BA347*AV347)</f>
        <v>954.8</v>
      </c>
      <c r="CU347">
        <f>AG347</f>
        <v>0</v>
      </c>
      <c r="CV347">
        <f>(AH347*AV347)</f>
        <v>1.8</v>
      </c>
      <c r="CW347">
        <f t="shared" si="298"/>
        <v>0</v>
      </c>
      <c r="CX347">
        <f t="shared" si="298"/>
        <v>0</v>
      </c>
      <c r="CY347">
        <f>((S347*BZ347)/100)</f>
        <v>66.835999999999999</v>
      </c>
      <c r="CZ347">
        <f>((S347*CA347)/100)</f>
        <v>9.548</v>
      </c>
      <c r="DC347" t="s">
        <v>3</v>
      </c>
      <c r="DD347" t="s">
        <v>20</v>
      </c>
      <c r="DE347" t="s">
        <v>20</v>
      </c>
      <c r="DF347" t="s">
        <v>20</v>
      </c>
      <c r="DG347" t="s">
        <v>20</v>
      </c>
      <c r="DH347" t="s">
        <v>3</v>
      </c>
      <c r="DI347" t="s">
        <v>20</v>
      </c>
      <c r="DJ347" t="s">
        <v>20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16987630</v>
      </c>
      <c r="DV347" t="s">
        <v>37</v>
      </c>
      <c r="DW347" t="s">
        <v>37</v>
      </c>
      <c r="DX347">
        <v>10</v>
      </c>
      <c r="DZ347" t="s">
        <v>3</v>
      </c>
      <c r="EA347" t="s">
        <v>3</v>
      </c>
      <c r="EB347" t="s">
        <v>3</v>
      </c>
      <c r="EC347" t="s">
        <v>3</v>
      </c>
      <c r="EE347">
        <v>1364533919</v>
      </c>
      <c r="EF347">
        <v>1</v>
      </c>
      <c r="EG347" t="s">
        <v>21</v>
      </c>
      <c r="EH347">
        <v>0</v>
      </c>
      <c r="EI347" t="s">
        <v>3</v>
      </c>
      <c r="EJ347">
        <v>4</v>
      </c>
      <c r="EK347">
        <v>0</v>
      </c>
      <c r="EL347" t="s">
        <v>22</v>
      </c>
      <c r="EM347" t="s">
        <v>23</v>
      </c>
      <c r="EO347" t="s">
        <v>3</v>
      </c>
      <c r="EQ347">
        <v>0</v>
      </c>
      <c r="ER347">
        <v>238.7</v>
      </c>
      <c r="ES347">
        <v>0</v>
      </c>
      <c r="ET347">
        <v>0</v>
      </c>
      <c r="EU347">
        <v>0</v>
      </c>
      <c r="EV347">
        <v>238.7</v>
      </c>
      <c r="EW347">
        <v>0.45</v>
      </c>
      <c r="EX347">
        <v>0</v>
      </c>
      <c r="EY347">
        <v>0</v>
      </c>
      <c r="FQ347">
        <v>0</v>
      </c>
      <c r="FR347">
        <f>ROUND(IF(BI347=3,GM347,0),2)</f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1866788587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>ROUND(IF(AND(BH347=3,BI347=3,FS347&lt;&gt;0),P347,0),2)</f>
        <v>0</v>
      </c>
      <c r="GM347">
        <f>ROUND(O347+X347+Y347+GK347,2)+GX347</f>
        <v>171.87</v>
      </c>
      <c r="GN347">
        <f>IF(OR(BI347=0,BI347=1),ROUND(O347+X347+Y347+GK347,2),0)</f>
        <v>0</v>
      </c>
      <c r="GO347">
        <f>IF(BI347=2,ROUND(O347+X347+Y347+GK347,2),0)</f>
        <v>0</v>
      </c>
      <c r="GP347">
        <f>IF(BI347=4,ROUND(O347+X347+Y347+GK347,2)+GX347,0)</f>
        <v>171.87</v>
      </c>
      <c r="GR347">
        <v>0</v>
      </c>
      <c r="GS347">
        <v>3</v>
      </c>
      <c r="GT347">
        <v>0</v>
      </c>
      <c r="GU347" t="s">
        <v>3</v>
      </c>
      <c r="GV347">
        <f>ROUND((GT347),6)</f>
        <v>0</v>
      </c>
      <c r="GW347">
        <v>1</v>
      </c>
      <c r="GX347">
        <f>ROUND(HC347*I347,2)</f>
        <v>0</v>
      </c>
      <c r="HA347">
        <v>0</v>
      </c>
      <c r="HB347">
        <v>0</v>
      </c>
      <c r="HC347">
        <f>GV347*GW347</f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ROW(EtalonRes!A178)</f>
        <v>178</v>
      </c>
      <c r="E348" t="s">
        <v>3</v>
      </c>
      <c r="F348" t="s">
        <v>322</v>
      </c>
      <c r="G348" t="s">
        <v>323</v>
      </c>
      <c r="H348" t="s">
        <v>42</v>
      </c>
      <c r="I348">
        <v>4</v>
      </c>
      <c r="J348">
        <v>0</v>
      </c>
      <c r="K348">
        <v>4</v>
      </c>
      <c r="O348">
        <f>ROUND(CP348,2)</f>
        <v>15425.65</v>
      </c>
      <c r="P348">
        <f>ROUND(CQ348*I348,2)</f>
        <v>16.690000000000001</v>
      </c>
      <c r="Q348">
        <f>ROUND(CR348*I348,2)</f>
        <v>7313.2</v>
      </c>
      <c r="R348">
        <f>ROUND(CS348*I348,2)</f>
        <v>3966.75</v>
      </c>
      <c r="S348">
        <f>ROUND(CT348*I348,2)</f>
        <v>8095.76</v>
      </c>
      <c r="T348">
        <f>ROUND(CU348*I348,2)</f>
        <v>0</v>
      </c>
      <c r="U348">
        <f>CV348*I348</f>
        <v>13.280000000000001</v>
      </c>
      <c r="V348">
        <f>CW348*I348</f>
        <v>0</v>
      </c>
      <c r="W348">
        <f>ROUND(CX348*I348,2)</f>
        <v>0</v>
      </c>
      <c r="X348">
        <f t="shared" si="297"/>
        <v>5667.03</v>
      </c>
      <c r="Y348">
        <f t="shared" si="297"/>
        <v>809.58</v>
      </c>
      <c r="AA348">
        <v>-1</v>
      </c>
      <c r="AB348">
        <f>ROUND((AC348+AD348+AF348),6)</f>
        <v>3856.413333</v>
      </c>
      <c r="AC348">
        <f>ROUND((((ES348/12)*8)),6)</f>
        <v>4.1733330000000004</v>
      </c>
      <c r="AD348">
        <f>ROUND((((((ET348/12)*8))-(((EU348/12)*8)))+AE348),6)</f>
        <v>1828.3</v>
      </c>
      <c r="AE348">
        <f>ROUND((((EU348/12)*8)),6)</f>
        <v>991.68666700000006</v>
      </c>
      <c r="AF348">
        <f>ROUND((((EV348/12)*8)),6)</f>
        <v>2023.94</v>
      </c>
      <c r="AG348">
        <f>ROUND((AP348),6)</f>
        <v>0</v>
      </c>
      <c r="AH348">
        <f>(((EW348/12)*8))</f>
        <v>3.3200000000000003</v>
      </c>
      <c r="AI348">
        <f>(((EX348/12)*8))</f>
        <v>0</v>
      </c>
      <c r="AJ348">
        <f>(AS348)</f>
        <v>0</v>
      </c>
      <c r="AK348">
        <v>5784.62</v>
      </c>
      <c r="AL348">
        <v>6.26</v>
      </c>
      <c r="AM348">
        <v>2742.45</v>
      </c>
      <c r="AN348">
        <v>1487.53</v>
      </c>
      <c r="AO348">
        <v>3035.91</v>
      </c>
      <c r="AP348">
        <v>0</v>
      </c>
      <c r="AQ348">
        <v>4.9800000000000004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324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>(P348+Q348+S348)</f>
        <v>15425.65</v>
      </c>
      <c r="CQ348">
        <f>(AC348*BC348*AW348)</f>
        <v>4.1733330000000004</v>
      </c>
      <c r="CR348">
        <f>((((((ET348/12)*8))*BB348-(((EU348/12)*8))*BS348)+AE348*BS348)*AV348)</f>
        <v>1828.3000003333334</v>
      </c>
      <c r="CS348">
        <f>(AE348*BS348*AV348)</f>
        <v>991.68666700000006</v>
      </c>
      <c r="CT348">
        <f>(AF348*BA348*AV348)</f>
        <v>2023.94</v>
      </c>
      <c r="CU348">
        <f>AG348</f>
        <v>0</v>
      </c>
      <c r="CV348">
        <f>(AH348*AV348)</f>
        <v>3.3200000000000003</v>
      </c>
      <c r="CW348">
        <f t="shared" si="298"/>
        <v>0</v>
      </c>
      <c r="CX348">
        <f t="shared" si="298"/>
        <v>0</v>
      </c>
      <c r="CY348">
        <f>((S348*BZ348)/100)</f>
        <v>5667.0320000000011</v>
      </c>
      <c r="CZ348">
        <f>((S348*CA348)/100)</f>
        <v>809.57600000000002</v>
      </c>
      <c r="DC348" t="s">
        <v>3</v>
      </c>
      <c r="DD348" t="s">
        <v>325</v>
      </c>
      <c r="DE348" t="s">
        <v>325</v>
      </c>
      <c r="DF348" t="s">
        <v>325</v>
      </c>
      <c r="DG348" t="s">
        <v>325</v>
      </c>
      <c r="DH348" t="s">
        <v>3</v>
      </c>
      <c r="DI348" t="s">
        <v>325</v>
      </c>
      <c r="DJ348" t="s">
        <v>325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16987630</v>
      </c>
      <c r="DV348" t="s">
        <v>42</v>
      </c>
      <c r="DW348" t="s">
        <v>42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1364533919</v>
      </c>
      <c r="EF348">
        <v>1</v>
      </c>
      <c r="EG348" t="s">
        <v>21</v>
      </c>
      <c r="EH348">
        <v>0</v>
      </c>
      <c r="EI348" t="s">
        <v>3</v>
      </c>
      <c r="EJ348">
        <v>4</v>
      </c>
      <c r="EK348">
        <v>0</v>
      </c>
      <c r="EL348" t="s">
        <v>22</v>
      </c>
      <c r="EM348" t="s">
        <v>23</v>
      </c>
      <c r="EO348" t="s">
        <v>3</v>
      </c>
      <c r="EQ348">
        <v>1024</v>
      </c>
      <c r="ER348">
        <v>5784.62</v>
      </c>
      <c r="ES348">
        <v>6.26</v>
      </c>
      <c r="ET348">
        <v>2742.45</v>
      </c>
      <c r="EU348">
        <v>1487.53</v>
      </c>
      <c r="EV348">
        <v>3035.91</v>
      </c>
      <c r="EW348">
        <v>4.9800000000000004</v>
      </c>
      <c r="EX348">
        <v>0</v>
      </c>
      <c r="EY348">
        <v>0</v>
      </c>
      <c r="FQ348">
        <v>0</v>
      </c>
      <c r="FR348">
        <f>ROUND(IF(BI348=3,GM348,0),2)</f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-6181961</v>
      </c>
      <c r="GG348">
        <v>2</v>
      </c>
      <c r="GH348">
        <v>1</v>
      </c>
      <c r="GI348">
        <v>-2</v>
      </c>
      <c r="GJ348">
        <v>0</v>
      </c>
      <c r="GK348">
        <f>ROUND(R348*(R12)/100,2)</f>
        <v>4284.09</v>
      </c>
      <c r="GL348">
        <f>ROUND(IF(AND(BH348=3,BI348=3,FS348&lt;&gt;0),P348,0),2)</f>
        <v>0</v>
      </c>
      <c r="GM348">
        <f>ROUND(O348+X348+Y348+GK348,2)+GX348</f>
        <v>26186.35</v>
      </c>
      <c r="GN348">
        <f>IF(OR(BI348=0,BI348=1),ROUND(O348+X348+Y348+GK348,2),0)</f>
        <v>0</v>
      </c>
      <c r="GO348">
        <f>IF(BI348=2,ROUND(O348+X348+Y348+GK348,2),0)</f>
        <v>0</v>
      </c>
      <c r="GP348">
        <f>IF(BI348=4,ROUND(O348+X348+Y348+GK348,2)+GX348,0)</f>
        <v>26186.35</v>
      </c>
      <c r="GR348">
        <v>0</v>
      </c>
      <c r="GS348">
        <v>3</v>
      </c>
      <c r="GT348">
        <v>0</v>
      </c>
      <c r="GU348" t="s">
        <v>3</v>
      </c>
      <c r="GV348">
        <f>ROUND((GT348),6)</f>
        <v>0</v>
      </c>
      <c r="GW348">
        <v>1</v>
      </c>
      <c r="GX348">
        <f>ROUND(HC348*I348,2)</f>
        <v>0</v>
      </c>
      <c r="HA348">
        <v>0</v>
      </c>
      <c r="HB348">
        <v>0</v>
      </c>
      <c r="HC348">
        <f>GV348*GW348</f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ROW(EtalonRes!A181)</f>
        <v>181</v>
      </c>
      <c r="E349" t="s">
        <v>24</v>
      </c>
      <c r="F349" t="s">
        <v>326</v>
      </c>
      <c r="G349" t="s">
        <v>327</v>
      </c>
      <c r="H349" t="s">
        <v>42</v>
      </c>
      <c r="I349">
        <v>4</v>
      </c>
      <c r="J349">
        <v>0</v>
      </c>
      <c r="K349">
        <v>4</v>
      </c>
      <c r="O349">
        <f>ROUND(CP349,2)</f>
        <v>7633.28</v>
      </c>
      <c r="P349">
        <f>ROUND(CQ349*I349,2)</f>
        <v>8.32</v>
      </c>
      <c r="Q349">
        <f>ROUND(CR349*I349,2)</f>
        <v>3577.12</v>
      </c>
      <c r="R349">
        <f>ROUND(CS349*I349,2)</f>
        <v>1940.32</v>
      </c>
      <c r="S349">
        <f>ROUND(CT349*I349,2)</f>
        <v>4047.84</v>
      </c>
      <c r="T349">
        <f>ROUND(CU349*I349,2)</f>
        <v>0</v>
      </c>
      <c r="U349">
        <f>CV349*I349</f>
        <v>6.72</v>
      </c>
      <c r="V349">
        <f>CW349*I349</f>
        <v>0</v>
      </c>
      <c r="W349">
        <f>ROUND(CX349*I349,2)</f>
        <v>0</v>
      </c>
      <c r="X349">
        <f t="shared" si="297"/>
        <v>2833.49</v>
      </c>
      <c r="Y349">
        <f t="shared" si="297"/>
        <v>404.78</v>
      </c>
      <c r="AA349">
        <v>1407491423</v>
      </c>
      <c r="AB349">
        <f>ROUND((AC349+AD349+AF349),6)</f>
        <v>1908.32</v>
      </c>
      <c r="AC349">
        <f>ROUND(((ES349*4)),6)</f>
        <v>2.08</v>
      </c>
      <c r="AD349">
        <f>ROUND(((((ET349*4))-((EU349*4)))+AE349),6)</f>
        <v>894.28</v>
      </c>
      <c r="AE349">
        <f>ROUND(((EU349*4)),6)</f>
        <v>485.08</v>
      </c>
      <c r="AF349">
        <f>ROUND(((EV349*4)),6)</f>
        <v>1011.96</v>
      </c>
      <c r="AG349">
        <f>ROUND((AP349),6)</f>
        <v>0</v>
      </c>
      <c r="AH349">
        <f>((EW349*4))</f>
        <v>1.68</v>
      </c>
      <c r="AI349">
        <f>((EX349*4))</f>
        <v>0</v>
      </c>
      <c r="AJ349">
        <f>(AS349)</f>
        <v>0</v>
      </c>
      <c r="AK349">
        <v>477.08</v>
      </c>
      <c r="AL349">
        <v>0.52</v>
      </c>
      <c r="AM349">
        <v>223.57</v>
      </c>
      <c r="AN349">
        <v>121.27</v>
      </c>
      <c r="AO349">
        <v>252.99</v>
      </c>
      <c r="AP349">
        <v>0</v>
      </c>
      <c r="AQ349">
        <v>0.42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328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>(P349+Q349+S349)</f>
        <v>7633.2800000000007</v>
      </c>
      <c r="CQ349">
        <f>(AC349*BC349*AW349)</f>
        <v>2.08</v>
      </c>
      <c r="CR349">
        <f>(((((ET349*4))*BB349-((EU349*4))*BS349)+AE349*BS349)*AV349)</f>
        <v>894.28</v>
      </c>
      <c r="CS349">
        <f>(AE349*BS349*AV349)</f>
        <v>485.08</v>
      </c>
      <c r="CT349">
        <f>(AF349*BA349*AV349)</f>
        <v>1011.96</v>
      </c>
      <c r="CU349">
        <f>AG349</f>
        <v>0</v>
      </c>
      <c r="CV349">
        <f>(AH349*AV349)</f>
        <v>1.68</v>
      </c>
      <c r="CW349">
        <f t="shared" si="298"/>
        <v>0</v>
      </c>
      <c r="CX349">
        <f t="shared" si="298"/>
        <v>0</v>
      </c>
      <c r="CY349">
        <f>((S349*BZ349)/100)</f>
        <v>2833.4879999999998</v>
      </c>
      <c r="CZ349">
        <f>((S349*CA349)/100)</f>
        <v>404.78399999999999</v>
      </c>
      <c r="DC349" t="s">
        <v>3</v>
      </c>
      <c r="DD349" t="s">
        <v>20</v>
      </c>
      <c r="DE349" t="s">
        <v>20</v>
      </c>
      <c r="DF349" t="s">
        <v>20</v>
      </c>
      <c r="DG349" t="s">
        <v>20</v>
      </c>
      <c r="DH349" t="s">
        <v>3</v>
      </c>
      <c r="DI349" t="s">
        <v>20</v>
      </c>
      <c r="DJ349" t="s">
        <v>20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16987630</v>
      </c>
      <c r="DV349" t="s">
        <v>42</v>
      </c>
      <c r="DW349" t="s">
        <v>42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1364533919</v>
      </c>
      <c r="EF349">
        <v>1</v>
      </c>
      <c r="EG349" t="s">
        <v>21</v>
      </c>
      <c r="EH349">
        <v>0</v>
      </c>
      <c r="EI349" t="s">
        <v>3</v>
      </c>
      <c r="EJ349">
        <v>4</v>
      </c>
      <c r="EK349">
        <v>0</v>
      </c>
      <c r="EL349" t="s">
        <v>22</v>
      </c>
      <c r="EM349" t="s">
        <v>23</v>
      </c>
      <c r="EO349" t="s">
        <v>3</v>
      </c>
      <c r="EQ349">
        <v>0</v>
      </c>
      <c r="ER349">
        <v>477.08</v>
      </c>
      <c r="ES349">
        <v>0.52</v>
      </c>
      <c r="ET349">
        <v>223.57</v>
      </c>
      <c r="EU349">
        <v>121.27</v>
      </c>
      <c r="EV349">
        <v>252.99</v>
      </c>
      <c r="EW349">
        <v>0.42</v>
      </c>
      <c r="EX349">
        <v>0</v>
      </c>
      <c r="EY349">
        <v>0</v>
      </c>
      <c r="FQ349">
        <v>0</v>
      </c>
      <c r="FR349">
        <f>ROUND(IF(BI349=3,GM349,0),2)</f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-1626117288</v>
      </c>
      <c r="GG349">
        <v>2</v>
      </c>
      <c r="GH349">
        <v>1</v>
      </c>
      <c r="GI349">
        <v>-2</v>
      </c>
      <c r="GJ349">
        <v>0</v>
      </c>
      <c r="GK349">
        <f>ROUND(R349*(R12)/100,2)</f>
        <v>2095.5500000000002</v>
      </c>
      <c r="GL349">
        <f>ROUND(IF(AND(BH349=3,BI349=3,FS349&lt;&gt;0),P349,0),2)</f>
        <v>0</v>
      </c>
      <c r="GM349">
        <f>ROUND(O349+X349+Y349+GK349,2)+GX349</f>
        <v>12967.1</v>
      </c>
      <c r="GN349">
        <f>IF(OR(BI349=0,BI349=1),ROUND(O349+X349+Y349+GK349,2),0)</f>
        <v>0</v>
      </c>
      <c r="GO349">
        <f>IF(BI349=2,ROUND(O349+X349+Y349+GK349,2),0)</f>
        <v>0</v>
      </c>
      <c r="GP349">
        <f>IF(BI349=4,ROUND(O349+X349+Y349+GK349,2)+GX349,0)</f>
        <v>12967.1</v>
      </c>
      <c r="GR349">
        <v>0</v>
      </c>
      <c r="GS349">
        <v>3</v>
      </c>
      <c r="GT349">
        <v>0</v>
      </c>
      <c r="GU349" t="s">
        <v>3</v>
      </c>
      <c r="GV349">
        <f>ROUND((GT349),6)</f>
        <v>0</v>
      </c>
      <c r="GW349">
        <v>1</v>
      </c>
      <c r="GX349">
        <f>ROUND(HC349*I349,2)</f>
        <v>0</v>
      </c>
      <c r="HA349">
        <v>0</v>
      </c>
      <c r="HB349">
        <v>0</v>
      </c>
      <c r="HC349">
        <f>GV349*GW349</f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19</v>
      </c>
      <c r="B350">
        <v>1</v>
      </c>
      <c r="F350" t="s">
        <v>3</v>
      </c>
      <c r="G350" t="s">
        <v>329</v>
      </c>
      <c r="H350" t="s">
        <v>3</v>
      </c>
      <c r="AA350">
        <v>1</v>
      </c>
      <c r="IK350">
        <v>0</v>
      </c>
    </row>
    <row r="351" spans="1:245" x14ac:dyDescent="0.2">
      <c r="A351">
        <v>17</v>
      </c>
      <c r="B351">
        <v>1</v>
      </c>
      <c r="D351">
        <f>ROW(EtalonRes!A184)</f>
        <v>184</v>
      </c>
      <c r="E351" t="s">
        <v>34</v>
      </c>
      <c r="F351" t="s">
        <v>330</v>
      </c>
      <c r="G351" t="s">
        <v>331</v>
      </c>
      <c r="H351" t="s">
        <v>42</v>
      </c>
      <c r="I351">
        <f>ROUND(1,9)</f>
        <v>1</v>
      </c>
      <c r="J351">
        <v>0</v>
      </c>
      <c r="K351">
        <f>ROUND(1,9)</f>
        <v>1</v>
      </c>
      <c r="O351">
        <f t="shared" ref="O351:O358" si="299">ROUND(CP351,2)</f>
        <v>2595.62</v>
      </c>
      <c r="P351">
        <f t="shared" ref="P351:P358" si="300">ROUND(CQ351*I351,2)</f>
        <v>30.52</v>
      </c>
      <c r="Q351">
        <f t="shared" ref="Q351:Q358" si="301">ROUND(CR351*I351,2)</f>
        <v>0</v>
      </c>
      <c r="R351">
        <f t="shared" ref="R351:R358" si="302">ROUND(CS351*I351,2)</f>
        <v>0</v>
      </c>
      <c r="S351">
        <f t="shared" ref="S351:S358" si="303">ROUND(CT351*I351,2)</f>
        <v>2565.1</v>
      </c>
      <c r="T351">
        <f t="shared" ref="T351:T358" si="304">ROUND(CU351*I351,2)</f>
        <v>0</v>
      </c>
      <c r="U351">
        <f t="shared" ref="U351:U358" si="305">CV351*I351</f>
        <v>3.6</v>
      </c>
      <c r="V351">
        <f t="shared" ref="V351:V358" si="306">CW351*I351</f>
        <v>0</v>
      </c>
      <c r="W351">
        <f t="shared" ref="W351:W358" si="307">ROUND(CX351*I351,2)</f>
        <v>0</v>
      </c>
      <c r="X351">
        <f t="shared" ref="X351:Y358" si="308">ROUND(CY351,2)</f>
        <v>1795.57</v>
      </c>
      <c r="Y351">
        <f t="shared" si="308"/>
        <v>256.51</v>
      </c>
      <c r="AA351">
        <v>1407491423</v>
      </c>
      <c r="AB351">
        <f t="shared" ref="AB351:AB358" si="309">ROUND((AC351+AD351+AF351),6)</f>
        <v>2595.62</v>
      </c>
      <c r="AC351">
        <f>ROUND(((ES351*2)),6)</f>
        <v>30.52</v>
      </c>
      <c r="AD351">
        <f>ROUND(((((ET351*2))-((EU351*2)))+AE351),6)</f>
        <v>0</v>
      </c>
      <c r="AE351">
        <f t="shared" ref="AE351:AF355" si="310">ROUND(((EU351*2)),6)</f>
        <v>0</v>
      </c>
      <c r="AF351">
        <f t="shared" si="310"/>
        <v>2565.1</v>
      </c>
      <c r="AG351">
        <f t="shared" ref="AG351:AG358" si="311">ROUND((AP351),6)</f>
        <v>0</v>
      </c>
      <c r="AH351">
        <f t="shared" ref="AH351:AI355" si="312">((EW351*2))</f>
        <v>3.6</v>
      </c>
      <c r="AI351">
        <f t="shared" si="312"/>
        <v>0</v>
      </c>
      <c r="AJ351">
        <f t="shared" ref="AJ351:AJ358" si="313">(AS351)</f>
        <v>0</v>
      </c>
      <c r="AK351">
        <v>1297.81</v>
      </c>
      <c r="AL351">
        <v>15.26</v>
      </c>
      <c r="AM351">
        <v>0</v>
      </c>
      <c r="AN351">
        <v>0</v>
      </c>
      <c r="AO351">
        <v>1282.55</v>
      </c>
      <c r="AP351">
        <v>0</v>
      </c>
      <c r="AQ351">
        <v>1.8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332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ref="CP351:CP358" si="314">(P351+Q351+S351)</f>
        <v>2595.62</v>
      </c>
      <c r="CQ351">
        <f t="shared" ref="CQ351:CQ358" si="315">(AC351*BC351*AW351)</f>
        <v>30.52</v>
      </c>
      <c r="CR351">
        <f>(((((ET351*2))*BB351-((EU351*2))*BS351)+AE351*BS351)*AV351)</f>
        <v>0</v>
      </c>
      <c r="CS351">
        <f t="shared" ref="CS351:CS358" si="316">(AE351*BS351*AV351)</f>
        <v>0</v>
      </c>
      <c r="CT351">
        <f t="shared" ref="CT351:CT358" si="317">(AF351*BA351*AV351)</f>
        <v>2565.1</v>
      </c>
      <c r="CU351">
        <f t="shared" ref="CU351:CU358" si="318">AG351</f>
        <v>0</v>
      </c>
      <c r="CV351">
        <f t="shared" ref="CV351:CV358" si="319">(AH351*AV351)</f>
        <v>3.6</v>
      </c>
      <c r="CW351">
        <f t="shared" ref="CW351:CX358" si="320">AI351</f>
        <v>0</v>
      </c>
      <c r="CX351">
        <f t="shared" si="320"/>
        <v>0</v>
      </c>
      <c r="CY351">
        <f t="shared" ref="CY351:CY358" si="321">((S351*BZ351)/100)</f>
        <v>1795.57</v>
      </c>
      <c r="CZ351">
        <f t="shared" ref="CZ351:CZ358" si="322">((S351*CA351)/100)</f>
        <v>256.51</v>
      </c>
      <c r="DC351" t="s">
        <v>3</v>
      </c>
      <c r="DD351" t="s">
        <v>52</v>
      </c>
      <c r="DE351" t="s">
        <v>52</v>
      </c>
      <c r="DF351" t="s">
        <v>52</v>
      </c>
      <c r="DG351" t="s">
        <v>52</v>
      </c>
      <c r="DH351" t="s">
        <v>3</v>
      </c>
      <c r="DI351" t="s">
        <v>52</v>
      </c>
      <c r="DJ351" t="s">
        <v>52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16987630</v>
      </c>
      <c r="DV351" t="s">
        <v>42</v>
      </c>
      <c r="DW351" t="s">
        <v>42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1364533919</v>
      </c>
      <c r="EF351">
        <v>1</v>
      </c>
      <c r="EG351" t="s">
        <v>21</v>
      </c>
      <c r="EH351">
        <v>0</v>
      </c>
      <c r="EI351" t="s">
        <v>3</v>
      </c>
      <c r="EJ351">
        <v>4</v>
      </c>
      <c r="EK351">
        <v>0</v>
      </c>
      <c r="EL351" t="s">
        <v>22</v>
      </c>
      <c r="EM351" t="s">
        <v>23</v>
      </c>
      <c r="EO351" t="s">
        <v>3</v>
      </c>
      <c r="EQ351">
        <v>0</v>
      </c>
      <c r="ER351">
        <v>1297.81</v>
      </c>
      <c r="ES351">
        <v>15.26</v>
      </c>
      <c r="ET351">
        <v>0</v>
      </c>
      <c r="EU351">
        <v>0</v>
      </c>
      <c r="EV351">
        <v>1282.55</v>
      </c>
      <c r="EW351">
        <v>1.8</v>
      </c>
      <c r="EX351">
        <v>0</v>
      </c>
      <c r="EY351">
        <v>0</v>
      </c>
      <c r="FQ351">
        <v>0</v>
      </c>
      <c r="FR351">
        <f t="shared" ref="FR351:FR358" si="323">ROUND(IF(BI351=3,GM351,0),2)</f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115440619</v>
      </c>
      <c r="GG351">
        <v>2</v>
      </c>
      <c r="GH351">
        <v>1</v>
      </c>
      <c r="GI351">
        <v>-2</v>
      </c>
      <c r="GJ351">
        <v>0</v>
      </c>
      <c r="GK351">
        <f>ROUND(R351*(R12)/100,2)</f>
        <v>0</v>
      </c>
      <c r="GL351">
        <f t="shared" ref="GL351:GL358" si="324">ROUND(IF(AND(BH351=3,BI351=3,FS351&lt;&gt;0),P351,0),2)</f>
        <v>0</v>
      </c>
      <c r="GM351">
        <f t="shared" ref="GM351:GM358" si="325">ROUND(O351+X351+Y351+GK351,2)+GX351</f>
        <v>4647.7</v>
      </c>
      <c r="GN351">
        <f t="shared" ref="GN351:GN358" si="326">IF(OR(BI351=0,BI351=1),ROUND(O351+X351+Y351+GK351,2),0)</f>
        <v>0</v>
      </c>
      <c r="GO351">
        <f t="shared" ref="GO351:GO358" si="327">IF(BI351=2,ROUND(O351+X351+Y351+GK351,2),0)</f>
        <v>0</v>
      </c>
      <c r="GP351">
        <f t="shared" ref="GP351:GP358" si="328">IF(BI351=4,ROUND(O351+X351+Y351+GK351,2)+GX351,0)</f>
        <v>4647.7</v>
      </c>
      <c r="GR351">
        <v>0</v>
      </c>
      <c r="GS351">
        <v>3</v>
      </c>
      <c r="GT351">
        <v>0</v>
      </c>
      <c r="GU351" t="s">
        <v>3</v>
      </c>
      <c r="GV351">
        <f t="shared" ref="GV351:GV358" si="329">ROUND((GT351),6)</f>
        <v>0</v>
      </c>
      <c r="GW351">
        <v>1</v>
      </c>
      <c r="GX351">
        <f t="shared" ref="GX351:GX358" si="330">ROUND(HC351*I351,2)</f>
        <v>0</v>
      </c>
      <c r="HA351">
        <v>0</v>
      </c>
      <c r="HB351">
        <v>0</v>
      </c>
      <c r="HC351">
        <f t="shared" ref="HC351:HC358" si="331">GV351*GW351</f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D352">
        <f>ROW(EtalonRes!A185)</f>
        <v>185</v>
      </c>
      <c r="E352" t="s">
        <v>39</v>
      </c>
      <c r="F352" t="s">
        <v>333</v>
      </c>
      <c r="G352" t="s">
        <v>334</v>
      </c>
      <c r="H352" t="s">
        <v>42</v>
      </c>
      <c r="I352">
        <f>ROUND(1,9)</f>
        <v>1</v>
      </c>
      <c r="J352">
        <v>0</v>
      </c>
      <c r="K352">
        <f>ROUND(1,9)</f>
        <v>1</v>
      </c>
      <c r="O352">
        <f t="shared" si="299"/>
        <v>1411</v>
      </c>
      <c r="P352">
        <f t="shared" si="300"/>
        <v>0</v>
      </c>
      <c r="Q352">
        <f t="shared" si="301"/>
        <v>0</v>
      </c>
      <c r="R352">
        <f t="shared" si="302"/>
        <v>0</v>
      </c>
      <c r="S352">
        <f t="shared" si="303"/>
        <v>1411</v>
      </c>
      <c r="T352">
        <f t="shared" si="304"/>
        <v>0</v>
      </c>
      <c r="U352">
        <f t="shared" si="305"/>
        <v>2.66</v>
      </c>
      <c r="V352">
        <f t="shared" si="306"/>
        <v>0</v>
      </c>
      <c r="W352">
        <f t="shared" si="307"/>
        <v>0</v>
      </c>
      <c r="X352">
        <f t="shared" si="308"/>
        <v>987.7</v>
      </c>
      <c r="Y352">
        <f t="shared" si="308"/>
        <v>141.1</v>
      </c>
      <c r="AA352">
        <v>1407491423</v>
      </c>
      <c r="AB352">
        <f t="shared" si="309"/>
        <v>1411</v>
      </c>
      <c r="AC352">
        <f>ROUND(((ES352*2)),6)</f>
        <v>0</v>
      </c>
      <c r="AD352">
        <f>ROUND(((((ET352*2))-((EU352*2)))+AE352),6)</f>
        <v>0</v>
      </c>
      <c r="AE352">
        <f t="shared" si="310"/>
        <v>0</v>
      </c>
      <c r="AF352">
        <f t="shared" si="310"/>
        <v>1411</v>
      </c>
      <c r="AG352">
        <f t="shared" si="311"/>
        <v>0</v>
      </c>
      <c r="AH352">
        <f t="shared" si="312"/>
        <v>2.66</v>
      </c>
      <c r="AI352">
        <f t="shared" si="312"/>
        <v>0</v>
      </c>
      <c r="AJ352">
        <f t="shared" si="313"/>
        <v>0</v>
      </c>
      <c r="AK352">
        <v>705.5</v>
      </c>
      <c r="AL352">
        <v>0</v>
      </c>
      <c r="AM352">
        <v>0</v>
      </c>
      <c r="AN352">
        <v>0</v>
      </c>
      <c r="AO352">
        <v>705.5</v>
      </c>
      <c r="AP352">
        <v>0</v>
      </c>
      <c r="AQ352">
        <v>1.33</v>
      </c>
      <c r="AR352">
        <v>0</v>
      </c>
      <c r="AS352">
        <v>0</v>
      </c>
      <c r="AT352">
        <v>70</v>
      </c>
      <c r="AU352">
        <v>10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335</v>
      </c>
      <c r="BM352">
        <v>0</v>
      </c>
      <c r="BN352">
        <v>0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70</v>
      </c>
      <c r="CA352">
        <v>10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314"/>
        <v>1411</v>
      </c>
      <c r="CQ352">
        <f t="shared" si="315"/>
        <v>0</v>
      </c>
      <c r="CR352">
        <f>(((((ET352*2))*BB352-((EU352*2))*BS352)+AE352*BS352)*AV352)</f>
        <v>0</v>
      </c>
      <c r="CS352">
        <f t="shared" si="316"/>
        <v>0</v>
      </c>
      <c r="CT352">
        <f t="shared" si="317"/>
        <v>1411</v>
      </c>
      <c r="CU352">
        <f t="shared" si="318"/>
        <v>0</v>
      </c>
      <c r="CV352">
        <f t="shared" si="319"/>
        <v>2.66</v>
      </c>
      <c r="CW352">
        <f t="shared" si="320"/>
        <v>0</v>
      </c>
      <c r="CX352">
        <f t="shared" si="320"/>
        <v>0</v>
      </c>
      <c r="CY352">
        <f t="shared" si="321"/>
        <v>987.7</v>
      </c>
      <c r="CZ352">
        <f t="shared" si="322"/>
        <v>141.1</v>
      </c>
      <c r="DC352" t="s">
        <v>3</v>
      </c>
      <c r="DD352" t="s">
        <v>52</v>
      </c>
      <c r="DE352" t="s">
        <v>52</v>
      </c>
      <c r="DF352" t="s">
        <v>52</v>
      </c>
      <c r="DG352" t="s">
        <v>52</v>
      </c>
      <c r="DH352" t="s">
        <v>3</v>
      </c>
      <c r="DI352" t="s">
        <v>52</v>
      </c>
      <c r="DJ352" t="s">
        <v>52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16987630</v>
      </c>
      <c r="DV352" t="s">
        <v>42</v>
      </c>
      <c r="DW352" t="s">
        <v>42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1364533919</v>
      </c>
      <c r="EF352">
        <v>1</v>
      </c>
      <c r="EG352" t="s">
        <v>21</v>
      </c>
      <c r="EH352">
        <v>0</v>
      </c>
      <c r="EI352" t="s">
        <v>3</v>
      </c>
      <c r="EJ352">
        <v>4</v>
      </c>
      <c r="EK352">
        <v>0</v>
      </c>
      <c r="EL352" t="s">
        <v>22</v>
      </c>
      <c r="EM352" t="s">
        <v>23</v>
      </c>
      <c r="EO352" t="s">
        <v>3</v>
      </c>
      <c r="EQ352">
        <v>0</v>
      </c>
      <c r="ER352">
        <v>705.5</v>
      </c>
      <c r="ES352">
        <v>0</v>
      </c>
      <c r="ET352">
        <v>0</v>
      </c>
      <c r="EU352">
        <v>0</v>
      </c>
      <c r="EV352">
        <v>705.5</v>
      </c>
      <c r="EW352">
        <v>1.33</v>
      </c>
      <c r="EX352">
        <v>0</v>
      </c>
      <c r="EY352">
        <v>0</v>
      </c>
      <c r="FQ352">
        <v>0</v>
      </c>
      <c r="FR352">
        <f t="shared" si="323"/>
        <v>0</v>
      </c>
      <c r="FS352">
        <v>0</v>
      </c>
      <c r="FX352">
        <v>70</v>
      </c>
      <c r="FY352">
        <v>10</v>
      </c>
      <c r="GA352" t="s">
        <v>3</v>
      </c>
      <c r="GD352">
        <v>0</v>
      </c>
      <c r="GF352">
        <v>-1226901852</v>
      </c>
      <c r="GG352">
        <v>2</v>
      </c>
      <c r="GH352">
        <v>1</v>
      </c>
      <c r="GI352">
        <v>-2</v>
      </c>
      <c r="GJ352">
        <v>0</v>
      </c>
      <c r="GK352">
        <f>ROUND(R352*(R12)/100,2)</f>
        <v>0</v>
      </c>
      <c r="GL352">
        <f t="shared" si="324"/>
        <v>0</v>
      </c>
      <c r="GM352">
        <f t="shared" si="325"/>
        <v>2539.8000000000002</v>
      </c>
      <c r="GN352">
        <f t="shared" si="326"/>
        <v>0</v>
      </c>
      <c r="GO352">
        <f t="shared" si="327"/>
        <v>0</v>
      </c>
      <c r="GP352">
        <f t="shared" si="328"/>
        <v>2539.8000000000002</v>
      </c>
      <c r="GR352">
        <v>0</v>
      </c>
      <c r="GS352">
        <v>3</v>
      </c>
      <c r="GT352">
        <v>0</v>
      </c>
      <c r="GU352" t="s">
        <v>3</v>
      </c>
      <c r="GV352">
        <f t="shared" si="329"/>
        <v>0</v>
      </c>
      <c r="GW352">
        <v>1</v>
      </c>
      <c r="GX352">
        <f t="shared" si="330"/>
        <v>0</v>
      </c>
      <c r="HA352">
        <v>0</v>
      </c>
      <c r="HB352">
        <v>0</v>
      </c>
      <c r="HC352">
        <f t="shared" si="331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D353">
        <f>ROW(EtalonRes!A188)</f>
        <v>188</v>
      </c>
      <c r="E353" t="s">
        <v>44</v>
      </c>
      <c r="F353" t="s">
        <v>330</v>
      </c>
      <c r="G353" t="s">
        <v>336</v>
      </c>
      <c r="H353" t="s">
        <v>42</v>
      </c>
      <c r="I353">
        <f>ROUND(3,9)</f>
        <v>3</v>
      </c>
      <c r="J353">
        <v>0</v>
      </c>
      <c r="K353">
        <f>ROUND(3,9)</f>
        <v>3</v>
      </c>
      <c r="O353">
        <f t="shared" si="299"/>
        <v>7786.86</v>
      </c>
      <c r="P353">
        <f t="shared" si="300"/>
        <v>91.56</v>
      </c>
      <c r="Q353">
        <f t="shared" si="301"/>
        <v>0</v>
      </c>
      <c r="R353">
        <f t="shared" si="302"/>
        <v>0</v>
      </c>
      <c r="S353">
        <f t="shared" si="303"/>
        <v>7695.3</v>
      </c>
      <c r="T353">
        <f t="shared" si="304"/>
        <v>0</v>
      </c>
      <c r="U353">
        <f t="shared" si="305"/>
        <v>10.8</v>
      </c>
      <c r="V353">
        <f t="shared" si="306"/>
        <v>0</v>
      </c>
      <c r="W353">
        <f t="shared" si="307"/>
        <v>0</v>
      </c>
      <c r="X353">
        <f t="shared" si="308"/>
        <v>5386.71</v>
      </c>
      <c r="Y353">
        <f t="shared" si="308"/>
        <v>769.53</v>
      </c>
      <c r="AA353">
        <v>1407491423</v>
      </c>
      <c r="AB353">
        <f t="shared" si="309"/>
        <v>2595.62</v>
      </c>
      <c r="AC353">
        <f>ROUND(((ES353*2)),6)</f>
        <v>30.52</v>
      </c>
      <c r="AD353">
        <f>ROUND(((((ET353*2))-((EU353*2)))+AE353),6)</f>
        <v>0</v>
      </c>
      <c r="AE353">
        <f t="shared" si="310"/>
        <v>0</v>
      </c>
      <c r="AF353">
        <f t="shared" si="310"/>
        <v>2565.1</v>
      </c>
      <c r="AG353">
        <f t="shared" si="311"/>
        <v>0</v>
      </c>
      <c r="AH353">
        <f t="shared" si="312"/>
        <v>3.6</v>
      </c>
      <c r="AI353">
        <f t="shared" si="312"/>
        <v>0</v>
      </c>
      <c r="AJ353">
        <f t="shared" si="313"/>
        <v>0</v>
      </c>
      <c r="AK353">
        <v>1297.81</v>
      </c>
      <c r="AL353">
        <v>15.26</v>
      </c>
      <c r="AM353">
        <v>0</v>
      </c>
      <c r="AN353">
        <v>0</v>
      </c>
      <c r="AO353">
        <v>1282.55</v>
      </c>
      <c r="AP353">
        <v>0</v>
      </c>
      <c r="AQ353">
        <v>1.8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332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314"/>
        <v>7786.8600000000006</v>
      </c>
      <c r="CQ353">
        <f t="shared" si="315"/>
        <v>30.52</v>
      </c>
      <c r="CR353">
        <f>(((((ET353*2))*BB353-((EU353*2))*BS353)+AE353*BS353)*AV353)</f>
        <v>0</v>
      </c>
      <c r="CS353">
        <f t="shared" si="316"/>
        <v>0</v>
      </c>
      <c r="CT353">
        <f t="shared" si="317"/>
        <v>2565.1</v>
      </c>
      <c r="CU353">
        <f t="shared" si="318"/>
        <v>0</v>
      </c>
      <c r="CV353">
        <f t="shared" si="319"/>
        <v>3.6</v>
      </c>
      <c r="CW353">
        <f t="shared" si="320"/>
        <v>0</v>
      </c>
      <c r="CX353">
        <f t="shared" si="320"/>
        <v>0</v>
      </c>
      <c r="CY353">
        <f t="shared" si="321"/>
        <v>5386.71</v>
      </c>
      <c r="CZ353">
        <f t="shared" si="322"/>
        <v>769.53</v>
      </c>
      <c r="DC353" t="s">
        <v>3</v>
      </c>
      <c r="DD353" t="s">
        <v>52</v>
      </c>
      <c r="DE353" t="s">
        <v>52</v>
      </c>
      <c r="DF353" t="s">
        <v>52</v>
      </c>
      <c r="DG353" t="s">
        <v>52</v>
      </c>
      <c r="DH353" t="s">
        <v>3</v>
      </c>
      <c r="DI353" t="s">
        <v>52</v>
      </c>
      <c r="DJ353" t="s">
        <v>52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16987630</v>
      </c>
      <c r="DV353" t="s">
        <v>42</v>
      </c>
      <c r="DW353" t="s">
        <v>42</v>
      </c>
      <c r="DX353">
        <v>1</v>
      </c>
      <c r="DZ353" t="s">
        <v>3</v>
      </c>
      <c r="EA353" t="s">
        <v>3</v>
      </c>
      <c r="EB353" t="s">
        <v>3</v>
      </c>
      <c r="EC353" t="s">
        <v>3</v>
      </c>
      <c r="EE353">
        <v>1364533919</v>
      </c>
      <c r="EF353">
        <v>1</v>
      </c>
      <c r="EG353" t="s">
        <v>21</v>
      </c>
      <c r="EH353">
        <v>0</v>
      </c>
      <c r="EI353" t="s">
        <v>3</v>
      </c>
      <c r="EJ353">
        <v>4</v>
      </c>
      <c r="EK353">
        <v>0</v>
      </c>
      <c r="EL353" t="s">
        <v>22</v>
      </c>
      <c r="EM353" t="s">
        <v>23</v>
      </c>
      <c r="EO353" t="s">
        <v>3</v>
      </c>
      <c r="EQ353">
        <v>0</v>
      </c>
      <c r="ER353">
        <v>1297.81</v>
      </c>
      <c r="ES353">
        <v>15.26</v>
      </c>
      <c r="ET353">
        <v>0</v>
      </c>
      <c r="EU353">
        <v>0</v>
      </c>
      <c r="EV353">
        <v>1282.55</v>
      </c>
      <c r="EW353">
        <v>1.8</v>
      </c>
      <c r="EX353">
        <v>0</v>
      </c>
      <c r="EY353">
        <v>0</v>
      </c>
      <c r="FQ353">
        <v>0</v>
      </c>
      <c r="FR353">
        <f t="shared" si="323"/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-339846897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</v>
      </c>
      <c r="GL353">
        <f t="shared" si="324"/>
        <v>0</v>
      </c>
      <c r="GM353">
        <f t="shared" si="325"/>
        <v>13943.1</v>
      </c>
      <c r="GN353">
        <f t="shared" si="326"/>
        <v>0</v>
      </c>
      <c r="GO353">
        <f t="shared" si="327"/>
        <v>0</v>
      </c>
      <c r="GP353">
        <f t="shared" si="328"/>
        <v>13943.1</v>
      </c>
      <c r="GR353">
        <v>0</v>
      </c>
      <c r="GS353">
        <v>3</v>
      </c>
      <c r="GT353">
        <v>0</v>
      </c>
      <c r="GU353" t="s">
        <v>3</v>
      </c>
      <c r="GV353">
        <f t="shared" si="329"/>
        <v>0</v>
      </c>
      <c r="GW353">
        <v>1</v>
      </c>
      <c r="GX353">
        <f t="shared" si="330"/>
        <v>0</v>
      </c>
      <c r="HA353">
        <v>0</v>
      </c>
      <c r="HB353">
        <v>0</v>
      </c>
      <c r="HC353">
        <f t="shared" si="331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D354">
        <f>ROW(EtalonRes!A192)</f>
        <v>192</v>
      </c>
      <c r="E354" t="s">
        <v>48</v>
      </c>
      <c r="F354" t="s">
        <v>337</v>
      </c>
      <c r="G354" t="s">
        <v>338</v>
      </c>
      <c r="H354" t="s">
        <v>42</v>
      </c>
      <c r="I354">
        <f>ROUND(2,9)</f>
        <v>2</v>
      </c>
      <c r="J354">
        <v>0</v>
      </c>
      <c r="K354">
        <f>ROUND(2,9)</f>
        <v>2</v>
      </c>
      <c r="O354">
        <f t="shared" si="299"/>
        <v>1211.2</v>
      </c>
      <c r="P354">
        <f t="shared" si="300"/>
        <v>65.12</v>
      </c>
      <c r="Q354">
        <f t="shared" si="301"/>
        <v>0</v>
      </c>
      <c r="R354">
        <f t="shared" si="302"/>
        <v>0</v>
      </c>
      <c r="S354">
        <f t="shared" si="303"/>
        <v>1146.08</v>
      </c>
      <c r="T354">
        <f t="shared" si="304"/>
        <v>0</v>
      </c>
      <c r="U354">
        <f t="shared" si="305"/>
        <v>1.88</v>
      </c>
      <c r="V354">
        <f t="shared" si="306"/>
        <v>0</v>
      </c>
      <c r="W354">
        <f t="shared" si="307"/>
        <v>0</v>
      </c>
      <c r="X354">
        <f t="shared" si="308"/>
        <v>802.26</v>
      </c>
      <c r="Y354">
        <f t="shared" si="308"/>
        <v>114.61</v>
      </c>
      <c r="AA354">
        <v>1407491423</v>
      </c>
      <c r="AB354">
        <f t="shared" si="309"/>
        <v>605.6</v>
      </c>
      <c r="AC354">
        <f>ROUND(((ES354*2)),6)</f>
        <v>32.56</v>
      </c>
      <c r="AD354">
        <f>ROUND(((((ET354*2))-((EU354*2)))+AE354),6)</f>
        <v>0</v>
      </c>
      <c r="AE354">
        <f t="shared" si="310"/>
        <v>0</v>
      </c>
      <c r="AF354">
        <f t="shared" si="310"/>
        <v>573.04</v>
      </c>
      <c r="AG354">
        <f t="shared" si="311"/>
        <v>0</v>
      </c>
      <c r="AH354">
        <f t="shared" si="312"/>
        <v>0.94</v>
      </c>
      <c r="AI354">
        <f t="shared" si="312"/>
        <v>0</v>
      </c>
      <c r="AJ354">
        <f t="shared" si="313"/>
        <v>0</v>
      </c>
      <c r="AK354">
        <v>302.8</v>
      </c>
      <c r="AL354">
        <v>16.28</v>
      </c>
      <c r="AM354">
        <v>0</v>
      </c>
      <c r="AN354">
        <v>0</v>
      </c>
      <c r="AO354">
        <v>286.52</v>
      </c>
      <c r="AP354">
        <v>0</v>
      </c>
      <c r="AQ354">
        <v>0.47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339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314"/>
        <v>1211.1999999999998</v>
      </c>
      <c r="CQ354">
        <f t="shared" si="315"/>
        <v>32.56</v>
      </c>
      <c r="CR354">
        <f>(((((ET354*2))*BB354-((EU354*2))*BS354)+AE354*BS354)*AV354)</f>
        <v>0</v>
      </c>
      <c r="CS354">
        <f t="shared" si="316"/>
        <v>0</v>
      </c>
      <c r="CT354">
        <f t="shared" si="317"/>
        <v>573.04</v>
      </c>
      <c r="CU354">
        <f t="shared" si="318"/>
        <v>0</v>
      </c>
      <c r="CV354">
        <f t="shared" si="319"/>
        <v>0.94</v>
      </c>
      <c r="CW354">
        <f t="shared" si="320"/>
        <v>0</v>
      </c>
      <c r="CX354">
        <f t="shared" si="320"/>
        <v>0</v>
      </c>
      <c r="CY354">
        <f t="shared" si="321"/>
        <v>802.25599999999986</v>
      </c>
      <c r="CZ354">
        <f t="shared" si="322"/>
        <v>114.60799999999999</v>
      </c>
      <c r="DC354" t="s">
        <v>3</v>
      </c>
      <c r="DD354" t="s">
        <v>52</v>
      </c>
      <c r="DE354" t="s">
        <v>52</v>
      </c>
      <c r="DF354" t="s">
        <v>52</v>
      </c>
      <c r="DG354" t="s">
        <v>52</v>
      </c>
      <c r="DH354" t="s">
        <v>3</v>
      </c>
      <c r="DI354" t="s">
        <v>52</v>
      </c>
      <c r="DJ354" t="s">
        <v>52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16987630</v>
      </c>
      <c r="DV354" t="s">
        <v>42</v>
      </c>
      <c r="DW354" t="s">
        <v>42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1364533919</v>
      </c>
      <c r="EF354">
        <v>1</v>
      </c>
      <c r="EG354" t="s">
        <v>21</v>
      </c>
      <c r="EH354">
        <v>0</v>
      </c>
      <c r="EI354" t="s">
        <v>3</v>
      </c>
      <c r="EJ354">
        <v>4</v>
      </c>
      <c r="EK354">
        <v>0</v>
      </c>
      <c r="EL354" t="s">
        <v>22</v>
      </c>
      <c r="EM354" t="s">
        <v>23</v>
      </c>
      <c r="EO354" t="s">
        <v>3</v>
      </c>
      <c r="EQ354">
        <v>0</v>
      </c>
      <c r="ER354">
        <v>302.8</v>
      </c>
      <c r="ES354">
        <v>16.28</v>
      </c>
      <c r="ET354">
        <v>0</v>
      </c>
      <c r="EU354">
        <v>0</v>
      </c>
      <c r="EV354">
        <v>286.52</v>
      </c>
      <c r="EW354">
        <v>0.47</v>
      </c>
      <c r="EX354">
        <v>0</v>
      </c>
      <c r="EY354">
        <v>0</v>
      </c>
      <c r="FQ354">
        <v>0</v>
      </c>
      <c r="FR354">
        <f t="shared" si="323"/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-2017358860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 t="shared" si="324"/>
        <v>0</v>
      </c>
      <c r="GM354">
        <f t="shared" si="325"/>
        <v>2128.0700000000002</v>
      </c>
      <c r="GN354">
        <f t="shared" si="326"/>
        <v>0</v>
      </c>
      <c r="GO354">
        <f t="shared" si="327"/>
        <v>0</v>
      </c>
      <c r="GP354">
        <f t="shared" si="328"/>
        <v>2128.0700000000002</v>
      </c>
      <c r="GR354">
        <v>0</v>
      </c>
      <c r="GS354">
        <v>3</v>
      </c>
      <c r="GT354">
        <v>0</v>
      </c>
      <c r="GU354" t="s">
        <v>3</v>
      </c>
      <c r="GV354">
        <f t="shared" si="329"/>
        <v>0</v>
      </c>
      <c r="GW354">
        <v>1</v>
      </c>
      <c r="GX354">
        <f t="shared" si="330"/>
        <v>0</v>
      </c>
      <c r="HA354">
        <v>0</v>
      </c>
      <c r="HB354">
        <v>0</v>
      </c>
      <c r="HC354">
        <f t="shared" si="331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ROW(EtalonRes!A195)</f>
        <v>195</v>
      </c>
      <c r="E355" t="s">
        <v>53</v>
      </c>
      <c r="F355" t="s">
        <v>340</v>
      </c>
      <c r="G355" t="s">
        <v>341</v>
      </c>
      <c r="H355" t="s">
        <v>37</v>
      </c>
      <c r="I355">
        <f>ROUND(2/10,9)</f>
        <v>0.2</v>
      </c>
      <c r="J355">
        <v>0</v>
      </c>
      <c r="K355">
        <f>ROUND(2/10,9)</f>
        <v>0.2</v>
      </c>
      <c r="O355">
        <f t="shared" si="299"/>
        <v>3054.31</v>
      </c>
      <c r="P355">
        <f t="shared" si="300"/>
        <v>6.21</v>
      </c>
      <c r="Q355">
        <f t="shared" si="301"/>
        <v>0</v>
      </c>
      <c r="R355">
        <f t="shared" si="302"/>
        <v>0</v>
      </c>
      <c r="S355">
        <f t="shared" si="303"/>
        <v>3048.1</v>
      </c>
      <c r="T355">
        <f t="shared" si="304"/>
        <v>0</v>
      </c>
      <c r="U355">
        <f t="shared" si="305"/>
        <v>5</v>
      </c>
      <c r="V355">
        <f t="shared" si="306"/>
        <v>0</v>
      </c>
      <c r="W355">
        <f t="shared" si="307"/>
        <v>0</v>
      </c>
      <c r="X355">
        <f t="shared" si="308"/>
        <v>2133.67</v>
      </c>
      <c r="Y355">
        <f t="shared" si="308"/>
        <v>304.81</v>
      </c>
      <c r="AA355">
        <v>1407491423</v>
      </c>
      <c r="AB355">
        <f t="shared" si="309"/>
        <v>15271.56</v>
      </c>
      <c r="AC355">
        <f>ROUND(((ES355*2)),6)</f>
        <v>31.06</v>
      </c>
      <c r="AD355">
        <f>ROUND(((((ET355*2))-((EU355*2)))+AE355),6)</f>
        <v>0</v>
      </c>
      <c r="AE355">
        <f t="shared" si="310"/>
        <v>0</v>
      </c>
      <c r="AF355">
        <f t="shared" si="310"/>
        <v>15240.5</v>
      </c>
      <c r="AG355">
        <f t="shared" si="311"/>
        <v>0</v>
      </c>
      <c r="AH355">
        <f t="shared" si="312"/>
        <v>25</v>
      </c>
      <c r="AI355">
        <f t="shared" si="312"/>
        <v>0</v>
      </c>
      <c r="AJ355">
        <f t="shared" si="313"/>
        <v>0</v>
      </c>
      <c r="AK355">
        <v>7635.78</v>
      </c>
      <c r="AL355">
        <v>15.53</v>
      </c>
      <c r="AM355">
        <v>0</v>
      </c>
      <c r="AN355">
        <v>0</v>
      </c>
      <c r="AO355">
        <v>7620.25</v>
      </c>
      <c r="AP355">
        <v>0</v>
      </c>
      <c r="AQ355">
        <v>12.5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342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314"/>
        <v>3054.31</v>
      </c>
      <c r="CQ355">
        <f t="shared" si="315"/>
        <v>31.06</v>
      </c>
      <c r="CR355">
        <f>(((((ET355*2))*BB355-((EU355*2))*BS355)+AE355*BS355)*AV355)</f>
        <v>0</v>
      </c>
      <c r="CS355">
        <f t="shared" si="316"/>
        <v>0</v>
      </c>
      <c r="CT355">
        <f t="shared" si="317"/>
        <v>15240.5</v>
      </c>
      <c r="CU355">
        <f t="shared" si="318"/>
        <v>0</v>
      </c>
      <c r="CV355">
        <f t="shared" si="319"/>
        <v>25</v>
      </c>
      <c r="CW355">
        <f t="shared" si="320"/>
        <v>0</v>
      </c>
      <c r="CX355">
        <f t="shared" si="320"/>
        <v>0</v>
      </c>
      <c r="CY355">
        <f t="shared" si="321"/>
        <v>2133.67</v>
      </c>
      <c r="CZ355">
        <f t="shared" si="322"/>
        <v>304.81</v>
      </c>
      <c r="DC355" t="s">
        <v>3</v>
      </c>
      <c r="DD355" t="s">
        <v>52</v>
      </c>
      <c r="DE355" t="s">
        <v>52</v>
      </c>
      <c r="DF355" t="s">
        <v>52</v>
      </c>
      <c r="DG355" t="s">
        <v>52</v>
      </c>
      <c r="DH355" t="s">
        <v>3</v>
      </c>
      <c r="DI355" t="s">
        <v>52</v>
      </c>
      <c r="DJ355" t="s">
        <v>52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16987630</v>
      </c>
      <c r="DV355" t="s">
        <v>37</v>
      </c>
      <c r="DW355" t="s">
        <v>37</v>
      </c>
      <c r="DX355">
        <v>10</v>
      </c>
      <c r="DZ355" t="s">
        <v>3</v>
      </c>
      <c r="EA355" t="s">
        <v>3</v>
      </c>
      <c r="EB355" t="s">
        <v>3</v>
      </c>
      <c r="EC355" t="s">
        <v>3</v>
      </c>
      <c r="EE355">
        <v>1364533919</v>
      </c>
      <c r="EF355">
        <v>1</v>
      </c>
      <c r="EG355" t="s">
        <v>21</v>
      </c>
      <c r="EH355">
        <v>0</v>
      </c>
      <c r="EI355" t="s">
        <v>3</v>
      </c>
      <c r="EJ355">
        <v>4</v>
      </c>
      <c r="EK355">
        <v>0</v>
      </c>
      <c r="EL355" t="s">
        <v>22</v>
      </c>
      <c r="EM355" t="s">
        <v>23</v>
      </c>
      <c r="EO355" t="s">
        <v>3</v>
      </c>
      <c r="EQ355">
        <v>0</v>
      </c>
      <c r="ER355">
        <v>7635.78</v>
      </c>
      <c r="ES355">
        <v>15.53</v>
      </c>
      <c r="ET355">
        <v>0</v>
      </c>
      <c r="EU355">
        <v>0</v>
      </c>
      <c r="EV355">
        <v>7620.25</v>
      </c>
      <c r="EW355">
        <v>12.5</v>
      </c>
      <c r="EX355">
        <v>0</v>
      </c>
      <c r="EY355">
        <v>0</v>
      </c>
      <c r="FQ355">
        <v>0</v>
      </c>
      <c r="FR355">
        <f t="shared" si="323"/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-298136700</v>
      </c>
      <c r="GG355">
        <v>2</v>
      </c>
      <c r="GH355">
        <v>1</v>
      </c>
      <c r="GI355">
        <v>-2</v>
      </c>
      <c r="GJ355">
        <v>0</v>
      </c>
      <c r="GK355">
        <f>ROUND(R355*(R12)/100,2)</f>
        <v>0</v>
      </c>
      <c r="GL355">
        <f t="shared" si="324"/>
        <v>0</v>
      </c>
      <c r="GM355">
        <f t="shared" si="325"/>
        <v>5492.79</v>
      </c>
      <c r="GN355">
        <f t="shared" si="326"/>
        <v>0</v>
      </c>
      <c r="GO355">
        <f t="shared" si="327"/>
        <v>0</v>
      </c>
      <c r="GP355">
        <f t="shared" si="328"/>
        <v>5492.79</v>
      </c>
      <c r="GR355">
        <v>0</v>
      </c>
      <c r="GS355">
        <v>3</v>
      </c>
      <c r="GT355">
        <v>0</v>
      </c>
      <c r="GU355" t="s">
        <v>3</v>
      </c>
      <c r="GV355">
        <f t="shared" si="329"/>
        <v>0</v>
      </c>
      <c r="GW355">
        <v>1</v>
      </c>
      <c r="GX355">
        <f t="shared" si="330"/>
        <v>0</v>
      </c>
      <c r="HA355">
        <v>0</v>
      </c>
      <c r="HB355">
        <v>0</v>
      </c>
      <c r="HC355">
        <f t="shared" si="331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1</v>
      </c>
      <c r="D356">
        <f>ROW(EtalonRes!A196)</f>
        <v>196</v>
      </c>
      <c r="E356" t="s">
        <v>57</v>
      </c>
      <c r="F356" t="s">
        <v>343</v>
      </c>
      <c r="G356" t="s">
        <v>344</v>
      </c>
      <c r="H356" t="s">
        <v>18</v>
      </c>
      <c r="I356">
        <f>ROUND((35+10+10)*1*0.1/100,9)</f>
        <v>5.5E-2</v>
      </c>
      <c r="J356">
        <v>0</v>
      </c>
      <c r="K356">
        <f>ROUND((35+10+10)*1*0.1/100,9)</f>
        <v>5.5E-2</v>
      </c>
      <c r="O356">
        <f t="shared" si="299"/>
        <v>23.47</v>
      </c>
      <c r="P356">
        <f t="shared" si="300"/>
        <v>0</v>
      </c>
      <c r="Q356">
        <f t="shared" si="301"/>
        <v>0</v>
      </c>
      <c r="R356">
        <f t="shared" si="302"/>
        <v>0</v>
      </c>
      <c r="S356">
        <f t="shared" si="303"/>
        <v>23.47</v>
      </c>
      <c r="T356">
        <f t="shared" si="304"/>
        <v>0</v>
      </c>
      <c r="U356">
        <f t="shared" si="305"/>
        <v>3.85E-2</v>
      </c>
      <c r="V356">
        <f t="shared" si="306"/>
        <v>0</v>
      </c>
      <c r="W356">
        <f t="shared" si="307"/>
        <v>0</v>
      </c>
      <c r="X356">
        <f t="shared" si="308"/>
        <v>16.43</v>
      </c>
      <c r="Y356">
        <f t="shared" si="308"/>
        <v>2.35</v>
      </c>
      <c r="AA356">
        <v>1407491423</v>
      </c>
      <c r="AB356">
        <f t="shared" si="309"/>
        <v>426.73</v>
      </c>
      <c r="AC356">
        <f>ROUND((ES356),6)</f>
        <v>0</v>
      </c>
      <c r="AD356">
        <f>ROUND((((ET356)-(EU356))+AE356),6)</f>
        <v>0</v>
      </c>
      <c r="AE356">
        <f>ROUND((EU356),6)</f>
        <v>0</v>
      </c>
      <c r="AF356">
        <f>ROUND((EV356),6)</f>
        <v>426.73</v>
      </c>
      <c r="AG356">
        <f t="shared" si="311"/>
        <v>0</v>
      </c>
      <c r="AH356">
        <f>(EW356)</f>
        <v>0.7</v>
      </c>
      <c r="AI356">
        <f>(EX356)</f>
        <v>0</v>
      </c>
      <c r="AJ356">
        <f t="shared" si="313"/>
        <v>0</v>
      </c>
      <c r="AK356">
        <v>426.73</v>
      </c>
      <c r="AL356">
        <v>0</v>
      </c>
      <c r="AM356">
        <v>0</v>
      </c>
      <c r="AN356">
        <v>0</v>
      </c>
      <c r="AO356">
        <v>426.73</v>
      </c>
      <c r="AP356">
        <v>0</v>
      </c>
      <c r="AQ356">
        <v>0.7</v>
      </c>
      <c r="AR356">
        <v>0</v>
      </c>
      <c r="AS356">
        <v>0</v>
      </c>
      <c r="AT356">
        <v>70</v>
      </c>
      <c r="AU356">
        <v>10</v>
      </c>
      <c r="AV356">
        <v>1</v>
      </c>
      <c r="AW356">
        <v>1</v>
      </c>
      <c r="AZ356">
        <v>1</v>
      </c>
      <c r="BA356">
        <v>1</v>
      </c>
      <c r="BB356">
        <v>1</v>
      </c>
      <c r="BC356">
        <v>1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4</v>
      </c>
      <c r="BJ356" t="s">
        <v>345</v>
      </c>
      <c r="BM356">
        <v>0</v>
      </c>
      <c r="BN356">
        <v>0</v>
      </c>
      <c r="BO356" t="s">
        <v>3</v>
      </c>
      <c r="BP356">
        <v>0</v>
      </c>
      <c r="BQ356">
        <v>1</v>
      </c>
      <c r="BR356">
        <v>0</v>
      </c>
      <c r="BS356">
        <v>1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70</v>
      </c>
      <c r="CA356">
        <v>10</v>
      </c>
      <c r="CB356" t="s">
        <v>3</v>
      </c>
      <c r="CE356">
        <v>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314"/>
        <v>23.47</v>
      </c>
      <c r="CQ356">
        <f t="shared" si="315"/>
        <v>0</v>
      </c>
      <c r="CR356">
        <f>((((ET356)*BB356-(EU356)*BS356)+AE356*BS356)*AV356)</f>
        <v>0</v>
      </c>
      <c r="CS356">
        <f t="shared" si="316"/>
        <v>0</v>
      </c>
      <c r="CT356">
        <f t="shared" si="317"/>
        <v>426.73</v>
      </c>
      <c r="CU356">
        <f t="shared" si="318"/>
        <v>0</v>
      </c>
      <c r="CV356">
        <f t="shared" si="319"/>
        <v>0.7</v>
      </c>
      <c r="CW356">
        <f t="shared" si="320"/>
        <v>0</v>
      </c>
      <c r="CX356">
        <f t="shared" si="320"/>
        <v>0</v>
      </c>
      <c r="CY356">
        <f t="shared" si="321"/>
        <v>16.428999999999998</v>
      </c>
      <c r="CZ356">
        <f t="shared" si="322"/>
        <v>2.347</v>
      </c>
      <c r="DC356" t="s">
        <v>3</v>
      </c>
      <c r="DD356" t="s">
        <v>3</v>
      </c>
      <c r="DE356" t="s">
        <v>3</v>
      </c>
      <c r="DF356" t="s">
        <v>3</v>
      </c>
      <c r="DG356" t="s">
        <v>3</v>
      </c>
      <c r="DH356" t="s">
        <v>3</v>
      </c>
      <c r="DI356" t="s">
        <v>3</v>
      </c>
      <c r="DJ356" t="s">
        <v>3</v>
      </c>
      <c r="DK356" t="s">
        <v>3</v>
      </c>
      <c r="DL356" t="s">
        <v>3</v>
      </c>
      <c r="DM356" t="s">
        <v>3</v>
      </c>
      <c r="DN356">
        <v>0</v>
      </c>
      <c r="DO356">
        <v>0</v>
      </c>
      <c r="DP356">
        <v>1</v>
      </c>
      <c r="DQ356">
        <v>1</v>
      </c>
      <c r="DU356">
        <v>1003</v>
      </c>
      <c r="DV356" t="s">
        <v>18</v>
      </c>
      <c r="DW356" t="s">
        <v>18</v>
      </c>
      <c r="DX356">
        <v>100</v>
      </c>
      <c r="DZ356" t="s">
        <v>3</v>
      </c>
      <c r="EA356" t="s">
        <v>3</v>
      </c>
      <c r="EB356" t="s">
        <v>3</v>
      </c>
      <c r="EC356" t="s">
        <v>3</v>
      </c>
      <c r="EE356">
        <v>1364533919</v>
      </c>
      <c r="EF356">
        <v>1</v>
      </c>
      <c r="EG356" t="s">
        <v>21</v>
      </c>
      <c r="EH356">
        <v>0</v>
      </c>
      <c r="EI356" t="s">
        <v>3</v>
      </c>
      <c r="EJ356">
        <v>4</v>
      </c>
      <c r="EK356">
        <v>0</v>
      </c>
      <c r="EL356" t="s">
        <v>22</v>
      </c>
      <c r="EM356" t="s">
        <v>23</v>
      </c>
      <c r="EO356" t="s">
        <v>3</v>
      </c>
      <c r="EQ356">
        <v>0</v>
      </c>
      <c r="ER356">
        <v>426.73</v>
      </c>
      <c r="ES356">
        <v>0</v>
      </c>
      <c r="ET356">
        <v>0</v>
      </c>
      <c r="EU356">
        <v>0</v>
      </c>
      <c r="EV356">
        <v>426.73</v>
      </c>
      <c r="EW356">
        <v>0.7</v>
      </c>
      <c r="EX356">
        <v>0</v>
      </c>
      <c r="EY356">
        <v>0</v>
      </c>
      <c r="FQ356">
        <v>0</v>
      </c>
      <c r="FR356">
        <f t="shared" si="323"/>
        <v>0</v>
      </c>
      <c r="FS356">
        <v>0</v>
      </c>
      <c r="FX356">
        <v>70</v>
      </c>
      <c r="FY356">
        <v>10</v>
      </c>
      <c r="GA356" t="s">
        <v>3</v>
      </c>
      <c r="GD356">
        <v>0</v>
      </c>
      <c r="GF356">
        <v>787430173</v>
      </c>
      <c r="GG356">
        <v>2</v>
      </c>
      <c r="GH356">
        <v>1</v>
      </c>
      <c r="GI356">
        <v>-2</v>
      </c>
      <c r="GJ356">
        <v>0</v>
      </c>
      <c r="GK356">
        <f>ROUND(R356*(R12)/100,2)</f>
        <v>0</v>
      </c>
      <c r="GL356">
        <f t="shared" si="324"/>
        <v>0</v>
      </c>
      <c r="GM356">
        <f t="shared" si="325"/>
        <v>42.25</v>
      </c>
      <c r="GN356">
        <f t="shared" si="326"/>
        <v>0</v>
      </c>
      <c r="GO356">
        <f t="shared" si="327"/>
        <v>0</v>
      </c>
      <c r="GP356">
        <f t="shared" si="328"/>
        <v>42.25</v>
      </c>
      <c r="GR356">
        <v>0</v>
      </c>
      <c r="GS356">
        <v>3</v>
      </c>
      <c r="GT356">
        <v>0</v>
      </c>
      <c r="GU356" t="s">
        <v>3</v>
      </c>
      <c r="GV356">
        <f t="shared" si="329"/>
        <v>0</v>
      </c>
      <c r="GW356">
        <v>1</v>
      </c>
      <c r="GX356">
        <f t="shared" si="330"/>
        <v>0</v>
      </c>
      <c r="HA356">
        <v>0</v>
      </c>
      <c r="HB356">
        <v>0</v>
      </c>
      <c r="HC356">
        <f t="shared" si="331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1</v>
      </c>
      <c r="D357">
        <f>ROW(EtalonRes!A197)</f>
        <v>197</v>
      </c>
      <c r="E357" t="s">
        <v>61</v>
      </c>
      <c r="F357" t="s">
        <v>346</v>
      </c>
      <c r="G357" t="s">
        <v>347</v>
      </c>
      <c r="H357" t="s">
        <v>42</v>
      </c>
      <c r="I357">
        <f>ROUND(1,9)</f>
        <v>1</v>
      </c>
      <c r="J357">
        <v>0</v>
      </c>
      <c r="K357">
        <f>ROUND(1,9)</f>
        <v>1</v>
      </c>
      <c r="O357">
        <f t="shared" si="299"/>
        <v>1401.48</v>
      </c>
      <c r="P357">
        <f t="shared" si="300"/>
        <v>0</v>
      </c>
      <c r="Q357">
        <f t="shared" si="301"/>
        <v>0</v>
      </c>
      <c r="R357">
        <f t="shared" si="302"/>
        <v>0</v>
      </c>
      <c r="S357">
        <f t="shared" si="303"/>
        <v>1401.48</v>
      </c>
      <c r="T357">
        <f t="shared" si="304"/>
        <v>0</v>
      </c>
      <c r="U357">
        <f t="shared" si="305"/>
        <v>2.12</v>
      </c>
      <c r="V357">
        <f t="shared" si="306"/>
        <v>0</v>
      </c>
      <c r="W357">
        <f t="shared" si="307"/>
        <v>0</v>
      </c>
      <c r="X357">
        <f t="shared" si="308"/>
        <v>981.04</v>
      </c>
      <c r="Y357">
        <f t="shared" si="308"/>
        <v>140.15</v>
      </c>
      <c r="AA357">
        <v>1407491423</v>
      </c>
      <c r="AB357">
        <f t="shared" si="309"/>
        <v>1401.48</v>
      </c>
      <c r="AC357">
        <f>ROUND(((ES357*2)),6)</f>
        <v>0</v>
      </c>
      <c r="AD357">
        <f>ROUND(((((ET357*2))-((EU357*2)))+AE357),6)</f>
        <v>0</v>
      </c>
      <c r="AE357">
        <f>ROUND(((EU357*2)),6)</f>
        <v>0</v>
      </c>
      <c r="AF357">
        <f>ROUND(((EV357*2)),6)</f>
        <v>1401.48</v>
      </c>
      <c r="AG357">
        <f t="shared" si="311"/>
        <v>0</v>
      </c>
      <c r="AH357">
        <f>((EW357*2))</f>
        <v>2.12</v>
      </c>
      <c r="AI357">
        <f>((EX357*2))</f>
        <v>0</v>
      </c>
      <c r="AJ357">
        <f t="shared" si="313"/>
        <v>0</v>
      </c>
      <c r="AK357">
        <v>700.74</v>
      </c>
      <c r="AL357">
        <v>0</v>
      </c>
      <c r="AM357">
        <v>0</v>
      </c>
      <c r="AN357">
        <v>0</v>
      </c>
      <c r="AO357">
        <v>700.74</v>
      </c>
      <c r="AP357">
        <v>0</v>
      </c>
      <c r="AQ357">
        <v>1.06</v>
      </c>
      <c r="AR357">
        <v>0</v>
      </c>
      <c r="AS357">
        <v>0</v>
      </c>
      <c r="AT357">
        <v>70</v>
      </c>
      <c r="AU357">
        <v>10</v>
      </c>
      <c r="AV357">
        <v>1</v>
      </c>
      <c r="AW357">
        <v>1</v>
      </c>
      <c r="AZ357">
        <v>1</v>
      </c>
      <c r="BA357">
        <v>1</v>
      </c>
      <c r="BB357">
        <v>1</v>
      </c>
      <c r="BC357">
        <v>1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4</v>
      </c>
      <c r="BJ357" t="s">
        <v>348</v>
      </c>
      <c r="BM357">
        <v>0</v>
      </c>
      <c r="BN357">
        <v>0</v>
      </c>
      <c r="BO357" t="s">
        <v>3</v>
      </c>
      <c r="BP357">
        <v>0</v>
      </c>
      <c r="BQ357">
        <v>1</v>
      </c>
      <c r="BR357">
        <v>0</v>
      </c>
      <c r="BS357">
        <v>1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70</v>
      </c>
      <c r="CA357">
        <v>10</v>
      </c>
      <c r="CB357" t="s">
        <v>3</v>
      </c>
      <c r="CE357">
        <v>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314"/>
        <v>1401.48</v>
      </c>
      <c r="CQ357">
        <f t="shared" si="315"/>
        <v>0</v>
      </c>
      <c r="CR357">
        <f>(((((ET357*2))*BB357-((EU357*2))*BS357)+AE357*BS357)*AV357)</f>
        <v>0</v>
      </c>
      <c r="CS357">
        <f t="shared" si="316"/>
        <v>0</v>
      </c>
      <c r="CT357">
        <f t="shared" si="317"/>
        <v>1401.48</v>
      </c>
      <c r="CU357">
        <f t="shared" si="318"/>
        <v>0</v>
      </c>
      <c r="CV357">
        <f t="shared" si="319"/>
        <v>2.12</v>
      </c>
      <c r="CW357">
        <f t="shared" si="320"/>
        <v>0</v>
      </c>
      <c r="CX357">
        <f t="shared" si="320"/>
        <v>0</v>
      </c>
      <c r="CY357">
        <f t="shared" si="321"/>
        <v>981.03600000000006</v>
      </c>
      <c r="CZ357">
        <f t="shared" si="322"/>
        <v>140.148</v>
      </c>
      <c r="DC357" t="s">
        <v>3</v>
      </c>
      <c r="DD357" t="s">
        <v>52</v>
      </c>
      <c r="DE357" t="s">
        <v>52</v>
      </c>
      <c r="DF357" t="s">
        <v>52</v>
      </c>
      <c r="DG357" t="s">
        <v>52</v>
      </c>
      <c r="DH357" t="s">
        <v>3</v>
      </c>
      <c r="DI357" t="s">
        <v>52</v>
      </c>
      <c r="DJ357" t="s">
        <v>52</v>
      </c>
      <c r="DK357" t="s">
        <v>3</v>
      </c>
      <c r="DL357" t="s">
        <v>3</v>
      </c>
      <c r="DM357" t="s">
        <v>3</v>
      </c>
      <c r="DN357">
        <v>0</v>
      </c>
      <c r="DO357">
        <v>0</v>
      </c>
      <c r="DP357">
        <v>1</v>
      </c>
      <c r="DQ357">
        <v>1</v>
      </c>
      <c r="DU357">
        <v>16987630</v>
      </c>
      <c r="DV357" t="s">
        <v>42</v>
      </c>
      <c r="DW357" t="s">
        <v>42</v>
      </c>
      <c r="DX357">
        <v>1</v>
      </c>
      <c r="DZ357" t="s">
        <v>3</v>
      </c>
      <c r="EA357" t="s">
        <v>3</v>
      </c>
      <c r="EB357" t="s">
        <v>3</v>
      </c>
      <c r="EC357" t="s">
        <v>3</v>
      </c>
      <c r="EE357">
        <v>1364533919</v>
      </c>
      <c r="EF357">
        <v>1</v>
      </c>
      <c r="EG357" t="s">
        <v>21</v>
      </c>
      <c r="EH357">
        <v>0</v>
      </c>
      <c r="EI357" t="s">
        <v>3</v>
      </c>
      <c r="EJ357">
        <v>4</v>
      </c>
      <c r="EK357">
        <v>0</v>
      </c>
      <c r="EL357" t="s">
        <v>22</v>
      </c>
      <c r="EM357" t="s">
        <v>23</v>
      </c>
      <c r="EO357" t="s">
        <v>3</v>
      </c>
      <c r="EQ357">
        <v>0</v>
      </c>
      <c r="ER357">
        <v>700.74</v>
      </c>
      <c r="ES357">
        <v>0</v>
      </c>
      <c r="ET357">
        <v>0</v>
      </c>
      <c r="EU357">
        <v>0</v>
      </c>
      <c r="EV357">
        <v>700.74</v>
      </c>
      <c r="EW357">
        <v>1.06</v>
      </c>
      <c r="EX357">
        <v>0</v>
      </c>
      <c r="EY357">
        <v>0</v>
      </c>
      <c r="FQ357">
        <v>0</v>
      </c>
      <c r="FR357">
        <f t="shared" si="323"/>
        <v>0</v>
      </c>
      <c r="FS357">
        <v>0</v>
      </c>
      <c r="FX357">
        <v>70</v>
      </c>
      <c r="FY357">
        <v>10</v>
      </c>
      <c r="GA357" t="s">
        <v>3</v>
      </c>
      <c r="GD357">
        <v>0</v>
      </c>
      <c r="GF357">
        <v>-1087494691</v>
      </c>
      <c r="GG357">
        <v>2</v>
      </c>
      <c r="GH357">
        <v>1</v>
      </c>
      <c r="GI357">
        <v>-2</v>
      </c>
      <c r="GJ357">
        <v>0</v>
      </c>
      <c r="GK357">
        <f>ROUND(R357*(R12)/100,2)</f>
        <v>0</v>
      </c>
      <c r="GL357">
        <f t="shared" si="324"/>
        <v>0</v>
      </c>
      <c r="GM357">
        <f t="shared" si="325"/>
        <v>2522.67</v>
      </c>
      <c r="GN357">
        <f t="shared" si="326"/>
        <v>0</v>
      </c>
      <c r="GO357">
        <f t="shared" si="327"/>
        <v>0</v>
      </c>
      <c r="GP357">
        <f t="shared" si="328"/>
        <v>2522.67</v>
      </c>
      <c r="GR357">
        <v>0</v>
      </c>
      <c r="GS357">
        <v>3</v>
      </c>
      <c r="GT357">
        <v>0</v>
      </c>
      <c r="GU357" t="s">
        <v>3</v>
      </c>
      <c r="GV357">
        <f t="shared" si="329"/>
        <v>0</v>
      </c>
      <c r="GW357">
        <v>1</v>
      </c>
      <c r="GX357">
        <f t="shared" si="330"/>
        <v>0</v>
      </c>
      <c r="HA357">
        <v>0</v>
      </c>
      <c r="HB357">
        <v>0</v>
      </c>
      <c r="HC357">
        <f t="shared" si="331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1</v>
      </c>
      <c r="D358">
        <f>ROW(EtalonRes!A206)</f>
        <v>206</v>
      </c>
      <c r="E358" t="s">
        <v>3</v>
      </c>
      <c r="F358" t="s">
        <v>349</v>
      </c>
      <c r="G358" t="s">
        <v>350</v>
      </c>
      <c r="H358" t="s">
        <v>351</v>
      </c>
      <c r="I358">
        <v>1</v>
      </c>
      <c r="J358">
        <v>0</v>
      </c>
      <c r="K358">
        <v>1</v>
      </c>
      <c r="O358">
        <f t="shared" si="299"/>
        <v>10465.19</v>
      </c>
      <c r="P358">
        <f t="shared" si="300"/>
        <v>1287.42</v>
      </c>
      <c r="Q358">
        <f t="shared" si="301"/>
        <v>33.47</v>
      </c>
      <c r="R358">
        <f t="shared" si="302"/>
        <v>0.2</v>
      </c>
      <c r="S358">
        <f t="shared" si="303"/>
        <v>9144.2999999999993</v>
      </c>
      <c r="T358">
        <f t="shared" si="304"/>
        <v>0</v>
      </c>
      <c r="U358">
        <f t="shared" si="305"/>
        <v>15</v>
      </c>
      <c r="V358">
        <f t="shared" si="306"/>
        <v>0</v>
      </c>
      <c r="W358">
        <f t="shared" si="307"/>
        <v>0</v>
      </c>
      <c r="X358">
        <f t="shared" si="308"/>
        <v>6401.01</v>
      </c>
      <c r="Y358">
        <f t="shared" si="308"/>
        <v>914.43</v>
      </c>
      <c r="AA358">
        <v>-1</v>
      </c>
      <c r="AB358">
        <f t="shared" si="309"/>
        <v>10465.19</v>
      </c>
      <c r="AC358">
        <f>ROUND((ES358),6)</f>
        <v>1287.42</v>
      </c>
      <c r="AD358">
        <f>ROUND((((ET358)-(EU358))+AE358),6)</f>
        <v>33.47</v>
      </c>
      <c r="AE358">
        <f>ROUND((EU358),6)</f>
        <v>0.2</v>
      </c>
      <c r="AF358">
        <f>ROUND((EV358),6)</f>
        <v>9144.2999999999993</v>
      </c>
      <c r="AG358">
        <f t="shared" si="311"/>
        <v>0</v>
      </c>
      <c r="AH358">
        <f>(EW358)</f>
        <v>15</v>
      </c>
      <c r="AI358">
        <f>(EX358)</f>
        <v>0</v>
      </c>
      <c r="AJ358">
        <f t="shared" si="313"/>
        <v>0</v>
      </c>
      <c r="AK358">
        <v>10465.19</v>
      </c>
      <c r="AL358">
        <v>1287.42</v>
      </c>
      <c r="AM358">
        <v>33.47</v>
      </c>
      <c r="AN358">
        <v>0.2</v>
      </c>
      <c r="AO358">
        <v>9144.2999999999993</v>
      </c>
      <c r="AP358">
        <v>0</v>
      </c>
      <c r="AQ358">
        <v>15</v>
      </c>
      <c r="AR358">
        <v>0</v>
      </c>
      <c r="AS358">
        <v>0</v>
      </c>
      <c r="AT358">
        <v>70</v>
      </c>
      <c r="AU358">
        <v>10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4</v>
      </c>
      <c r="BJ358" t="s">
        <v>352</v>
      </c>
      <c r="BM358">
        <v>0</v>
      </c>
      <c r="BN358">
        <v>0</v>
      </c>
      <c r="BO358" t="s">
        <v>3</v>
      </c>
      <c r="BP358">
        <v>0</v>
      </c>
      <c r="BQ358">
        <v>1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70</v>
      </c>
      <c r="CA358">
        <v>10</v>
      </c>
      <c r="CB358" t="s">
        <v>3</v>
      </c>
      <c r="CE358">
        <v>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si="314"/>
        <v>10465.189999999999</v>
      </c>
      <c r="CQ358">
        <f t="shared" si="315"/>
        <v>1287.42</v>
      </c>
      <c r="CR358">
        <f>((((ET358)*BB358-(EU358)*BS358)+AE358*BS358)*AV358)</f>
        <v>33.47</v>
      </c>
      <c r="CS358">
        <f t="shared" si="316"/>
        <v>0.2</v>
      </c>
      <c r="CT358">
        <f t="shared" si="317"/>
        <v>9144.2999999999993</v>
      </c>
      <c r="CU358">
        <f t="shared" si="318"/>
        <v>0</v>
      </c>
      <c r="CV358">
        <f t="shared" si="319"/>
        <v>15</v>
      </c>
      <c r="CW358">
        <f t="shared" si="320"/>
        <v>0</v>
      </c>
      <c r="CX358">
        <f t="shared" si="320"/>
        <v>0</v>
      </c>
      <c r="CY358">
        <f t="shared" si="321"/>
        <v>6401.01</v>
      </c>
      <c r="CZ358">
        <f t="shared" si="322"/>
        <v>914.43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351</v>
      </c>
      <c r="DW358" t="s">
        <v>351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1364533919</v>
      </c>
      <c r="EF358">
        <v>1</v>
      </c>
      <c r="EG358" t="s">
        <v>21</v>
      </c>
      <c r="EH358">
        <v>0</v>
      </c>
      <c r="EI358" t="s">
        <v>3</v>
      </c>
      <c r="EJ358">
        <v>4</v>
      </c>
      <c r="EK358">
        <v>0</v>
      </c>
      <c r="EL358" t="s">
        <v>22</v>
      </c>
      <c r="EM358" t="s">
        <v>23</v>
      </c>
      <c r="EO358" t="s">
        <v>3</v>
      </c>
      <c r="EQ358">
        <v>1024</v>
      </c>
      <c r="ER358">
        <v>10465.19</v>
      </c>
      <c r="ES358">
        <v>1287.42</v>
      </c>
      <c r="ET358">
        <v>33.47</v>
      </c>
      <c r="EU358">
        <v>0.2</v>
      </c>
      <c r="EV358">
        <v>9144.2999999999993</v>
      </c>
      <c r="EW358">
        <v>15</v>
      </c>
      <c r="EX358">
        <v>0</v>
      </c>
      <c r="EY358">
        <v>0</v>
      </c>
      <c r="FQ358">
        <v>0</v>
      </c>
      <c r="FR358">
        <f t="shared" si="323"/>
        <v>0</v>
      </c>
      <c r="FS358">
        <v>0</v>
      </c>
      <c r="FX358">
        <v>70</v>
      </c>
      <c r="FY358">
        <v>10</v>
      </c>
      <c r="GA358" t="s">
        <v>3</v>
      </c>
      <c r="GD358">
        <v>0</v>
      </c>
      <c r="GF358">
        <v>-329762746</v>
      </c>
      <c r="GG358">
        <v>2</v>
      </c>
      <c r="GH358">
        <v>1</v>
      </c>
      <c r="GI358">
        <v>-2</v>
      </c>
      <c r="GJ358">
        <v>0</v>
      </c>
      <c r="GK358">
        <f>ROUND(R358*(R12)/100,2)</f>
        <v>0.22</v>
      </c>
      <c r="GL358">
        <f t="shared" si="324"/>
        <v>0</v>
      </c>
      <c r="GM358">
        <f t="shared" si="325"/>
        <v>17780.849999999999</v>
      </c>
      <c r="GN358">
        <f t="shared" si="326"/>
        <v>0</v>
      </c>
      <c r="GO358">
        <f t="shared" si="327"/>
        <v>0</v>
      </c>
      <c r="GP358">
        <f t="shared" si="328"/>
        <v>17780.849999999999</v>
      </c>
      <c r="GR358">
        <v>0</v>
      </c>
      <c r="GS358">
        <v>3</v>
      </c>
      <c r="GT358">
        <v>0</v>
      </c>
      <c r="GU358" t="s">
        <v>3</v>
      </c>
      <c r="GV358">
        <f t="shared" si="329"/>
        <v>0</v>
      </c>
      <c r="GW358">
        <v>1</v>
      </c>
      <c r="GX358">
        <f t="shared" si="330"/>
        <v>0</v>
      </c>
      <c r="HA358">
        <v>0</v>
      </c>
      <c r="HB358">
        <v>0</v>
      </c>
      <c r="HC358">
        <f t="shared" si="331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60" spans="1:245" x14ac:dyDescent="0.2">
      <c r="A360" s="2">
        <v>51</v>
      </c>
      <c r="B360" s="2">
        <f>B341</f>
        <v>1</v>
      </c>
      <c r="C360" s="2">
        <f>A341</f>
        <v>5</v>
      </c>
      <c r="D360" s="2">
        <f>ROW(A341)</f>
        <v>341</v>
      </c>
      <c r="E360" s="2"/>
      <c r="F360" s="2" t="str">
        <f>IF(F341&lt;&gt;"",F341,"")</f>
        <v>Новый подраздел</v>
      </c>
      <c r="G360" s="2" t="str">
        <f>IF(G341&lt;&gt;"",G341,"")</f>
        <v>Техническое  обслуживание годовое</v>
      </c>
      <c r="H360" s="2">
        <v>0</v>
      </c>
      <c r="I360" s="2"/>
      <c r="J360" s="2"/>
      <c r="K360" s="2"/>
      <c r="L360" s="2"/>
      <c r="M360" s="2"/>
      <c r="N360" s="2"/>
      <c r="O360" s="2">
        <f t="shared" ref="O360:T360" si="332">ROUND(AB360,2)</f>
        <v>25212.7</v>
      </c>
      <c r="P360" s="2">
        <f t="shared" si="332"/>
        <v>201.73</v>
      </c>
      <c r="Q360" s="2">
        <f t="shared" si="332"/>
        <v>3577.12</v>
      </c>
      <c r="R360" s="2">
        <f t="shared" si="332"/>
        <v>1940.32</v>
      </c>
      <c r="S360" s="2">
        <f t="shared" si="332"/>
        <v>21433.85</v>
      </c>
      <c r="T360" s="2">
        <f t="shared" si="332"/>
        <v>0</v>
      </c>
      <c r="U360" s="2">
        <f>AH360</f>
        <v>32.9985</v>
      </c>
      <c r="V360" s="2">
        <f>AI360</f>
        <v>0</v>
      </c>
      <c r="W360" s="2">
        <f>ROUND(AJ360,2)</f>
        <v>0</v>
      </c>
      <c r="X360" s="2">
        <f>ROUND(AK360,2)</f>
        <v>15003.71</v>
      </c>
      <c r="Y360" s="2">
        <f>ROUND(AL360,2)</f>
        <v>2143.39</v>
      </c>
      <c r="Z360" s="2"/>
      <c r="AA360" s="2"/>
      <c r="AB360" s="2">
        <f>ROUND(SUMIF(AA345:AA358,"=1407491423",O345:O358),2)</f>
        <v>25212.7</v>
      </c>
      <c r="AC360" s="2">
        <f>ROUND(SUMIF(AA345:AA358,"=1407491423",P345:P358),2)</f>
        <v>201.73</v>
      </c>
      <c r="AD360" s="2">
        <f>ROUND(SUMIF(AA345:AA358,"=1407491423",Q345:Q358),2)</f>
        <v>3577.12</v>
      </c>
      <c r="AE360" s="2">
        <f>ROUND(SUMIF(AA345:AA358,"=1407491423",R345:R358),2)</f>
        <v>1940.32</v>
      </c>
      <c r="AF360" s="2">
        <f>ROUND(SUMIF(AA345:AA358,"=1407491423",S345:S358),2)</f>
        <v>21433.85</v>
      </c>
      <c r="AG360" s="2">
        <f>ROUND(SUMIF(AA345:AA358,"=1407491423",T345:T358),2)</f>
        <v>0</v>
      </c>
      <c r="AH360" s="2">
        <f>SUMIF(AA345:AA358,"=1407491423",U345:U358)</f>
        <v>32.9985</v>
      </c>
      <c r="AI360" s="2">
        <f>SUMIF(AA345:AA358,"=1407491423",V345:V358)</f>
        <v>0</v>
      </c>
      <c r="AJ360" s="2">
        <f>ROUND(SUMIF(AA345:AA358,"=1407491423",W345:W358),2)</f>
        <v>0</v>
      </c>
      <c r="AK360" s="2">
        <f>ROUND(SUMIF(AA345:AA358,"=1407491423",X345:X358),2)</f>
        <v>15003.71</v>
      </c>
      <c r="AL360" s="2">
        <f>ROUND(SUMIF(AA345:AA358,"=1407491423",Y345:Y358),2)</f>
        <v>2143.39</v>
      </c>
      <c r="AM360" s="2"/>
      <c r="AN360" s="2"/>
      <c r="AO360" s="2">
        <f t="shared" ref="AO360:BD360" si="333">ROUND(BX360,2)</f>
        <v>0</v>
      </c>
      <c r="AP360" s="2">
        <f t="shared" si="333"/>
        <v>0</v>
      </c>
      <c r="AQ360" s="2">
        <f t="shared" si="333"/>
        <v>0</v>
      </c>
      <c r="AR360" s="2">
        <f t="shared" si="333"/>
        <v>44455.35</v>
      </c>
      <c r="AS360" s="2">
        <f t="shared" si="333"/>
        <v>0</v>
      </c>
      <c r="AT360" s="2">
        <f t="shared" si="333"/>
        <v>0</v>
      </c>
      <c r="AU360" s="2">
        <f t="shared" si="333"/>
        <v>44455.35</v>
      </c>
      <c r="AV360" s="2">
        <f t="shared" si="333"/>
        <v>201.73</v>
      </c>
      <c r="AW360" s="2">
        <f t="shared" si="333"/>
        <v>201.73</v>
      </c>
      <c r="AX360" s="2">
        <f t="shared" si="333"/>
        <v>0</v>
      </c>
      <c r="AY360" s="2">
        <f t="shared" si="333"/>
        <v>201.73</v>
      </c>
      <c r="AZ360" s="2">
        <f t="shared" si="333"/>
        <v>0</v>
      </c>
      <c r="BA360" s="2">
        <f t="shared" si="333"/>
        <v>0</v>
      </c>
      <c r="BB360" s="2">
        <f t="shared" si="333"/>
        <v>0</v>
      </c>
      <c r="BC360" s="2">
        <f t="shared" si="333"/>
        <v>0</v>
      </c>
      <c r="BD360" s="2">
        <f t="shared" si="333"/>
        <v>0</v>
      </c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>
        <f>ROUND(SUMIF(AA345:AA358,"=1407491423",FQ345:FQ358),2)</f>
        <v>0</v>
      </c>
      <c r="BY360" s="2">
        <f>ROUND(SUMIF(AA345:AA358,"=1407491423",FR345:FR358),2)</f>
        <v>0</v>
      </c>
      <c r="BZ360" s="2">
        <f>ROUND(SUMIF(AA345:AA358,"=1407491423",GL345:GL358),2)</f>
        <v>0</v>
      </c>
      <c r="CA360" s="2">
        <f>ROUND(SUMIF(AA345:AA358,"=1407491423",GM345:GM358),2)</f>
        <v>44455.35</v>
      </c>
      <c r="CB360" s="2">
        <f>ROUND(SUMIF(AA345:AA358,"=1407491423",GN345:GN358),2)</f>
        <v>0</v>
      </c>
      <c r="CC360" s="2">
        <f>ROUND(SUMIF(AA345:AA358,"=1407491423",GO345:GO358),2)</f>
        <v>0</v>
      </c>
      <c r="CD360" s="2">
        <f>ROUND(SUMIF(AA345:AA358,"=1407491423",GP345:GP358),2)</f>
        <v>44455.35</v>
      </c>
      <c r="CE360" s="2">
        <f>AC360-BX360</f>
        <v>201.73</v>
      </c>
      <c r="CF360" s="2">
        <f>AC360-BY360</f>
        <v>201.73</v>
      </c>
      <c r="CG360" s="2">
        <f>BX360-BZ360</f>
        <v>0</v>
      </c>
      <c r="CH360" s="2">
        <f>AC360-BX360-BY360+BZ360</f>
        <v>201.73</v>
      </c>
      <c r="CI360" s="2">
        <f>BY360-BZ360</f>
        <v>0</v>
      </c>
      <c r="CJ360" s="2">
        <f>ROUND(SUMIF(AA345:AA358,"=1407491423",GX345:GX358),2)</f>
        <v>0</v>
      </c>
      <c r="CK360" s="2">
        <f>ROUND(SUMIF(AA345:AA358,"=1407491423",GY345:GY358),2)</f>
        <v>0</v>
      </c>
      <c r="CL360" s="2">
        <f>ROUND(SUMIF(AA345:AA358,"=1407491423",GZ345:GZ358),2)</f>
        <v>0</v>
      </c>
      <c r="CM360" s="2">
        <f>ROUND(SUMIF(AA345:AA358,"=1407491423",HD345:HD358),2)</f>
        <v>0</v>
      </c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  <c r="EU360" s="3"/>
      <c r="EV360" s="3"/>
      <c r="EW360" s="3"/>
      <c r="EX360" s="3"/>
      <c r="EY360" s="3"/>
      <c r="EZ360" s="3"/>
      <c r="FA360" s="3"/>
      <c r="FB360" s="3"/>
      <c r="FC360" s="3"/>
      <c r="FD360" s="3"/>
      <c r="FE360" s="3"/>
      <c r="FF360" s="3"/>
      <c r="FG360" s="3"/>
      <c r="FH360" s="3"/>
      <c r="FI360" s="3"/>
      <c r="FJ360" s="3"/>
      <c r="FK360" s="3"/>
      <c r="FL360" s="3"/>
      <c r="FM360" s="3"/>
      <c r="FN360" s="3"/>
      <c r="FO360" s="3"/>
      <c r="FP360" s="3"/>
      <c r="FQ360" s="3"/>
      <c r="FR360" s="3"/>
      <c r="FS360" s="3"/>
      <c r="FT360" s="3"/>
      <c r="FU360" s="3"/>
      <c r="FV360" s="3"/>
      <c r="FW360" s="3"/>
      <c r="FX360" s="3"/>
      <c r="FY360" s="3"/>
      <c r="FZ360" s="3"/>
      <c r="GA360" s="3"/>
      <c r="GB360" s="3"/>
      <c r="GC360" s="3"/>
      <c r="GD360" s="3"/>
      <c r="GE360" s="3"/>
      <c r="GF360" s="3"/>
      <c r="GG360" s="3"/>
      <c r="GH360" s="3"/>
      <c r="GI360" s="3"/>
      <c r="GJ360" s="3"/>
      <c r="GK360" s="3"/>
      <c r="GL360" s="3"/>
      <c r="GM360" s="3"/>
      <c r="GN360" s="3"/>
      <c r="GO360" s="3"/>
      <c r="GP360" s="3"/>
      <c r="GQ360" s="3"/>
      <c r="GR360" s="3"/>
      <c r="GS360" s="3"/>
      <c r="GT360" s="3"/>
      <c r="GU360" s="3"/>
      <c r="GV360" s="3"/>
      <c r="GW360" s="3"/>
      <c r="GX360" s="3">
        <v>0</v>
      </c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201</v>
      </c>
      <c r="F362" s="4">
        <f>ROUND(Source!O360,O362)</f>
        <v>25212.7</v>
      </c>
      <c r="G362" s="4" t="s">
        <v>74</v>
      </c>
      <c r="H362" s="4" t="s">
        <v>75</v>
      </c>
      <c r="I362" s="4"/>
      <c r="J362" s="4"/>
      <c r="K362" s="4">
        <v>201</v>
      </c>
      <c r="L362" s="4">
        <v>1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25212.7</v>
      </c>
      <c r="X362" s="4">
        <v>1</v>
      </c>
      <c r="Y362" s="4">
        <v>25212.7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202</v>
      </c>
      <c r="F363" s="4">
        <f>ROUND(Source!P360,O363)</f>
        <v>201.73</v>
      </c>
      <c r="G363" s="4" t="s">
        <v>76</v>
      </c>
      <c r="H363" s="4" t="s">
        <v>77</v>
      </c>
      <c r="I363" s="4"/>
      <c r="J363" s="4"/>
      <c r="K363" s="4">
        <v>202</v>
      </c>
      <c r="L363" s="4">
        <v>2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201.73</v>
      </c>
      <c r="X363" s="4">
        <v>1</v>
      </c>
      <c r="Y363" s="4">
        <v>201.73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222</v>
      </c>
      <c r="F364" s="4">
        <f>ROUND(Source!AO360,O364)</f>
        <v>0</v>
      </c>
      <c r="G364" s="4" t="s">
        <v>78</v>
      </c>
      <c r="H364" s="4" t="s">
        <v>79</v>
      </c>
      <c r="I364" s="4"/>
      <c r="J364" s="4"/>
      <c r="K364" s="4">
        <v>222</v>
      </c>
      <c r="L364" s="4">
        <v>3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225</v>
      </c>
      <c r="F365" s="4">
        <f>ROUND(Source!AV360,O365)</f>
        <v>201.73</v>
      </c>
      <c r="G365" s="4" t="s">
        <v>80</v>
      </c>
      <c r="H365" s="4" t="s">
        <v>81</v>
      </c>
      <c r="I365" s="4"/>
      <c r="J365" s="4"/>
      <c r="K365" s="4">
        <v>225</v>
      </c>
      <c r="L365" s="4">
        <v>4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201.73</v>
      </c>
      <c r="X365" s="4">
        <v>1</v>
      </c>
      <c r="Y365" s="4">
        <v>201.73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226</v>
      </c>
      <c r="F366" s="4">
        <f>ROUND(Source!AW360,O366)</f>
        <v>201.73</v>
      </c>
      <c r="G366" s="4" t="s">
        <v>82</v>
      </c>
      <c r="H366" s="4" t="s">
        <v>83</v>
      </c>
      <c r="I366" s="4"/>
      <c r="J366" s="4"/>
      <c r="K366" s="4">
        <v>226</v>
      </c>
      <c r="L366" s="4">
        <v>5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201.73</v>
      </c>
      <c r="X366" s="4">
        <v>1</v>
      </c>
      <c r="Y366" s="4">
        <v>201.73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227</v>
      </c>
      <c r="F367" s="4">
        <f>ROUND(Source!AX360,O367)</f>
        <v>0</v>
      </c>
      <c r="G367" s="4" t="s">
        <v>84</v>
      </c>
      <c r="H367" s="4" t="s">
        <v>85</v>
      </c>
      <c r="I367" s="4"/>
      <c r="J367" s="4"/>
      <c r="K367" s="4">
        <v>227</v>
      </c>
      <c r="L367" s="4">
        <v>6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228</v>
      </c>
      <c r="F368" s="4">
        <f>ROUND(Source!AY360,O368)</f>
        <v>201.73</v>
      </c>
      <c r="G368" s="4" t="s">
        <v>86</v>
      </c>
      <c r="H368" s="4" t="s">
        <v>87</v>
      </c>
      <c r="I368" s="4"/>
      <c r="J368" s="4"/>
      <c r="K368" s="4">
        <v>228</v>
      </c>
      <c r="L368" s="4">
        <v>7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201.73</v>
      </c>
      <c r="X368" s="4">
        <v>1</v>
      </c>
      <c r="Y368" s="4">
        <v>201.73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216</v>
      </c>
      <c r="F369" s="4">
        <f>ROUND(Source!AP360,O369)</f>
        <v>0</v>
      </c>
      <c r="G369" s="4" t="s">
        <v>88</v>
      </c>
      <c r="H369" s="4" t="s">
        <v>89</v>
      </c>
      <c r="I369" s="4"/>
      <c r="J369" s="4"/>
      <c r="K369" s="4">
        <v>216</v>
      </c>
      <c r="L369" s="4">
        <v>8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223</v>
      </c>
      <c r="F370" s="4">
        <f>ROUND(Source!AQ360,O370)</f>
        <v>0</v>
      </c>
      <c r="G370" s="4" t="s">
        <v>90</v>
      </c>
      <c r="H370" s="4" t="s">
        <v>91</v>
      </c>
      <c r="I370" s="4"/>
      <c r="J370" s="4"/>
      <c r="K370" s="4">
        <v>223</v>
      </c>
      <c r="L370" s="4">
        <v>9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229</v>
      </c>
      <c r="F371" s="4">
        <f>ROUND(Source!AZ360,O371)</f>
        <v>0</v>
      </c>
      <c r="G371" s="4" t="s">
        <v>92</v>
      </c>
      <c r="H371" s="4" t="s">
        <v>93</v>
      </c>
      <c r="I371" s="4"/>
      <c r="J371" s="4"/>
      <c r="K371" s="4">
        <v>229</v>
      </c>
      <c r="L371" s="4">
        <v>10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203</v>
      </c>
      <c r="F372" s="4">
        <f>ROUND(Source!Q360,O372)</f>
        <v>3577.12</v>
      </c>
      <c r="G372" s="4" t="s">
        <v>94</v>
      </c>
      <c r="H372" s="4" t="s">
        <v>95</v>
      </c>
      <c r="I372" s="4"/>
      <c r="J372" s="4"/>
      <c r="K372" s="4">
        <v>203</v>
      </c>
      <c r="L372" s="4">
        <v>11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3577.12</v>
      </c>
      <c r="X372" s="4">
        <v>1</v>
      </c>
      <c r="Y372" s="4">
        <v>3577.12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231</v>
      </c>
      <c r="F373" s="4">
        <f>ROUND(Source!BB360,O373)</f>
        <v>0</v>
      </c>
      <c r="G373" s="4" t="s">
        <v>96</v>
      </c>
      <c r="H373" s="4" t="s">
        <v>97</v>
      </c>
      <c r="I373" s="4"/>
      <c r="J373" s="4"/>
      <c r="K373" s="4">
        <v>231</v>
      </c>
      <c r="L373" s="4">
        <v>12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204</v>
      </c>
      <c r="F374" s="4">
        <f>ROUND(Source!R360,O374)</f>
        <v>1940.32</v>
      </c>
      <c r="G374" s="4" t="s">
        <v>98</v>
      </c>
      <c r="H374" s="4" t="s">
        <v>99</v>
      </c>
      <c r="I374" s="4"/>
      <c r="J374" s="4"/>
      <c r="K374" s="4">
        <v>204</v>
      </c>
      <c r="L374" s="4">
        <v>13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1940.32</v>
      </c>
      <c r="X374" s="4">
        <v>1</v>
      </c>
      <c r="Y374" s="4">
        <v>1940.32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205</v>
      </c>
      <c r="F375" s="4">
        <f>ROUND(Source!S360,O375)</f>
        <v>21433.85</v>
      </c>
      <c r="G375" s="4" t="s">
        <v>100</v>
      </c>
      <c r="H375" s="4" t="s">
        <v>101</v>
      </c>
      <c r="I375" s="4"/>
      <c r="J375" s="4"/>
      <c r="K375" s="4">
        <v>205</v>
      </c>
      <c r="L375" s="4">
        <v>14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21433.85</v>
      </c>
      <c r="X375" s="4">
        <v>1</v>
      </c>
      <c r="Y375" s="4">
        <v>21433.85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232</v>
      </c>
      <c r="F376" s="4">
        <f>ROUND(Source!BC360,O376)</f>
        <v>0</v>
      </c>
      <c r="G376" s="4" t="s">
        <v>102</v>
      </c>
      <c r="H376" s="4" t="s">
        <v>103</v>
      </c>
      <c r="I376" s="4"/>
      <c r="J376" s="4"/>
      <c r="K376" s="4">
        <v>232</v>
      </c>
      <c r="L376" s="4">
        <v>15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214</v>
      </c>
      <c r="F377" s="4">
        <f>ROUND(Source!AS360,O377)</f>
        <v>0</v>
      </c>
      <c r="G377" s="4" t="s">
        <v>104</v>
      </c>
      <c r="H377" s="4" t="s">
        <v>105</v>
      </c>
      <c r="I377" s="4"/>
      <c r="J377" s="4"/>
      <c r="K377" s="4">
        <v>214</v>
      </c>
      <c r="L377" s="4">
        <v>16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215</v>
      </c>
      <c r="F378" s="4">
        <f>ROUND(Source!AT360,O378)</f>
        <v>0</v>
      </c>
      <c r="G378" s="4" t="s">
        <v>106</v>
      </c>
      <c r="H378" s="4" t="s">
        <v>107</v>
      </c>
      <c r="I378" s="4"/>
      <c r="J378" s="4"/>
      <c r="K378" s="4">
        <v>215</v>
      </c>
      <c r="L378" s="4">
        <v>17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217</v>
      </c>
      <c r="F379" s="4">
        <f>ROUND(Source!AU360,O379)</f>
        <v>44455.35</v>
      </c>
      <c r="G379" s="4" t="s">
        <v>108</v>
      </c>
      <c r="H379" s="4" t="s">
        <v>109</v>
      </c>
      <c r="I379" s="4"/>
      <c r="J379" s="4"/>
      <c r="K379" s="4">
        <v>217</v>
      </c>
      <c r="L379" s="4">
        <v>18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44455.35</v>
      </c>
      <c r="X379" s="4">
        <v>1</v>
      </c>
      <c r="Y379" s="4">
        <v>44455.35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230</v>
      </c>
      <c r="F380" s="4">
        <f>ROUND(Source!BA360,O380)</f>
        <v>0</v>
      </c>
      <c r="G380" s="4" t="s">
        <v>110</v>
      </c>
      <c r="H380" s="4" t="s">
        <v>111</v>
      </c>
      <c r="I380" s="4"/>
      <c r="J380" s="4"/>
      <c r="K380" s="4">
        <v>230</v>
      </c>
      <c r="L380" s="4">
        <v>19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206</v>
      </c>
      <c r="F381" s="4">
        <f>ROUND(Source!T360,O381)</f>
        <v>0</v>
      </c>
      <c r="G381" s="4" t="s">
        <v>112</v>
      </c>
      <c r="H381" s="4" t="s">
        <v>113</v>
      </c>
      <c r="I381" s="4"/>
      <c r="J381" s="4"/>
      <c r="K381" s="4">
        <v>206</v>
      </c>
      <c r="L381" s="4">
        <v>20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207</v>
      </c>
      <c r="F382" s="4">
        <f>Source!U360</f>
        <v>32.9985</v>
      </c>
      <c r="G382" s="4" t="s">
        <v>114</v>
      </c>
      <c r="H382" s="4" t="s">
        <v>115</v>
      </c>
      <c r="I382" s="4"/>
      <c r="J382" s="4"/>
      <c r="K382" s="4">
        <v>207</v>
      </c>
      <c r="L382" s="4">
        <v>21</v>
      </c>
      <c r="M382" s="4">
        <v>3</v>
      </c>
      <c r="N382" s="4" t="s">
        <v>3</v>
      </c>
      <c r="O382" s="4">
        <v>-1</v>
      </c>
      <c r="P382" s="4"/>
      <c r="Q382" s="4"/>
      <c r="R382" s="4"/>
      <c r="S382" s="4"/>
      <c r="T382" s="4"/>
      <c r="U382" s="4"/>
      <c r="V382" s="4"/>
      <c r="W382" s="4">
        <v>32.9985</v>
      </c>
      <c r="X382" s="4">
        <v>1</v>
      </c>
      <c r="Y382" s="4">
        <v>32.9985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208</v>
      </c>
      <c r="F383" s="4">
        <f>Source!V360</f>
        <v>0</v>
      </c>
      <c r="G383" s="4" t="s">
        <v>116</v>
      </c>
      <c r="H383" s="4" t="s">
        <v>117</v>
      </c>
      <c r="I383" s="4"/>
      <c r="J383" s="4"/>
      <c r="K383" s="4">
        <v>208</v>
      </c>
      <c r="L383" s="4">
        <v>22</v>
      </c>
      <c r="M383" s="4">
        <v>3</v>
      </c>
      <c r="N383" s="4" t="s">
        <v>3</v>
      </c>
      <c r="O383" s="4">
        <v>-1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209</v>
      </c>
      <c r="F384" s="4">
        <f>ROUND(Source!W360,O384)</f>
        <v>0</v>
      </c>
      <c r="G384" s="4" t="s">
        <v>118</v>
      </c>
      <c r="H384" s="4" t="s">
        <v>119</v>
      </c>
      <c r="I384" s="4"/>
      <c r="J384" s="4"/>
      <c r="K384" s="4">
        <v>209</v>
      </c>
      <c r="L384" s="4">
        <v>23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233</v>
      </c>
      <c r="F385" s="4">
        <f>ROUND(Source!BD360,O385)</f>
        <v>0</v>
      </c>
      <c r="G385" s="4" t="s">
        <v>120</v>
      </c>
      <c r="H385" s="4" t="s">
        <v>121</v>
      </c>
      <c r="I385" s="4"/>
      <c r="J385" s="4"/>
      <c r="K385" s="4">
        <v>233</v>
      </c>
      <c r="L385" s="4">
        <v>24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45" x14ac:dyDescent="0.2">
      <c r="A386" s="4">
        <v>50</v>
      </c>
      <c r="B386" s="4">
        <v>0</v>
      </c>
      <c r="C386" s="4">
        <v>0</v>
      </c>
      <c r="D386" s="4">
        <v>1</v>
      </c>
      <c r="E386" s="4">
        <v>210</v>
      </c>
      <c r="F386" s="4">
        <f>ROUND(Source!X360,O386)</f>
        <v>15003.71</v>
      </c>
      <c r="G386" s="4" t="s">
        <v>122</v>
      </c>
      <c r="H386" s="4" t="s">
        <v>123</v>
      </c>
      <c r="I386" s="4"/>
      <c r="J386" s="4"/>
      <c r="K386" s="4">
        <v>210</v>
      </c>
      <c r="L386" s="4">
        <v>25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15003.71</v>
      </c>
      <c r="X386" s="4">
        <v>1</v>
      </c>
      <c r="Y386" s="4">
        <v>15003.71</v>
      </c>
      <c r="Z386" s="4"/>
      <c r="AA386" s="4"/>
      <c r="AB386" s="4"/>
    </row>
    <row r="387" spans="1:245" x14ac:dyDescent="0.2">
      <c r="A387" s="4">
        <v>50</v>
      </c>
      <c r="B387" s="4">
        <v>0</v>
      </c>
      <c r="C387" s="4">
        <v>0</v>
      </c>
      <c r="D387" s="4">
        <v>1</v>
      </c>
      <c r="E387" s="4">
        <v>211</v>
      </c>
      <c r="F387" s="4">
        <f>ROUND(Source!Y360,O387)</f>
        <v>2143.39</v>
      </c>
      <c r="G387" s="4" t="s">
        <v>124</v>
      </c>
      <c r="H387" s="4" t="s">
        <v>125</v>
      </c>
      <c r="I387" s="4"/>
      <c r="J387" s="4"/>
      <c r="K387" s="4">
        <v>211</v>
      </c>
      <c r="L387" s="4">
        <v>26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2143.39</v>
      </c>
      <c r="X387" s="4">
        <v>1</v>
      </c>
      <c r="Y387" s="4">
        <v>2143.39</v>
      </c>
      <c r="Z387" s="4"/>
      <c r="AA387" s="4"/>
      <c r="AB387" s="4"/>
    </row>
    <row r="388" spans="1:245" x14ac:dyDescent="0.2">
      <c r="A388" s="4">
        <v>50</v>
      </c>
      <c r="B388" s="4">
        <v>0</v>
      </c>
      <c r="C388" s="4">
        <v>0</v>
      </c>
      <c r="D388" s="4">
        <v>1</v>
      </c>
      <c r="E388" s="4">
        <v>224</v>
      </c>
      <c r="F388" s="4">
        <f>ROUND(Source!AR360,O388)</f>
        <v>44455.35</v>
      </c>
      <c r="G388" s="4" t="s">
        <v>126</v>
      </c>
      <c r="H388" s="4" t="s">
        <v>127</v>
      </c>
      <c r="I388" s="4"/>
      <c r="J388" s="4"/>
      <c r="K388" s="4">
        <v>224</v>
      </c>
      <c r="L388" s="4">
        <v>27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44455.35</v>
      </c>
      <c r="X388" s="4">
        <v>1</v>
      </c>
      <c r="Y388" s="4">
        <v>44455.35</v>
      </c>
      <c r="Z388" s="4"/>
      <c r="AA388" s="4"/>
      <c r="AB388" s="4"/>
    </row>
    <row r="390" spans="1:245" x14ac:dyDescent="0.2">
      <c r="A390" s="1">
        <v>5</v>
      </c>
      <c r="B390" s="1">
        <v>1</v>
      </c>
      <c r="C390" s="1"/>
      <c r="D390" s="1">
        <f>ROW(A413)</f>
        <v>413</v>
      </c>
      <c r="E390" s="1"/>
      <c r="F390" s="1" t="s">
        <v>310</v>
      </c>
      <c r="G390" s="1" t="s">
        <v>353</v>
      </c>
      <c r="H390" s="1" t="s">
        <v>3</v>
      </c>
      <c r="I390" s="1">
        <v>0</v>
      </c>
      <c r="J390" s="1"/>
      <c r="K390" s="1">
        <v>0</v>
      </c>
      <c r="L390" s="1"/>
      <c r="M390" s="1" t="s">
        <v>3</v>
      </c>
      <c r="N390" s="1"/>
      <c r="O390" s="1"/>
      <c r="P390" s="1"/>
      <c r="Q390" s="1"/>
      <c r="R390" s="1"/>
      <c r="S390" s="1">
        <v>0</v>
      </c>
      <c r="T390" s="1"/>
      <c r="U390" s="1" t="s">
        <v>3</v>
      </c>
      <c r="V390" s="1">
        <v>0</v>
      </c>
      <c r="W390" s="1"/>
      <c r="X390" s="1"/>
      <c r="Y390" s="1"/>
      <c r="Z390" s="1"/>
      <c r="AA390" s="1"/>
      <c r="AB390" s="1" t="s">
        <v>3</v>
      </c>
      <c r="AC390" s="1" t="s">
        <v>3</v>
      </c>
      <c r="AD390" s="1" t="s">
        <v>3</v>
      </c>
      <c r="AE390" s="1" t="s">
        <v>3</v>
      </c>
      <c r="AF390" s="1" t="s">
        <v>3</v>
      </c>
      <c r="AG390" s="1" t="s">
        <v>3</v>
      </c>
      <c r="AH390" s="1"/>
      <c r="AI390" s="1"/>
      <c r="AJ390" s="1"/>
      <c r="AK390" s="1"/>
      <c r="AL390" s="1"/>
      <c r="AM390" s="1"/>
      <c r="AN390" s="1"/>
      <c r="AO390" s="1"/>
      <c r="AP390" s="1" t="s">
        <v>3</v>
      </c>
      <c r="AQ390" s="1" t="s">
        <v>3</v>
      </c>
      <c r="AR390" s="1" t="s">
        <v>3</v>
      </c>
      <c r="AS390" s="1"/>
      <c r="AT390" s="1"/>
      <c r="AU390" s="1"/>
      <c r="AV390" s="1"/>
      <c r="AW390" s="1"/>
      <c r="AX390" s="1"/>
      <c r="AY390" s="1"/>
      <c r="AZ390" s="1" t="s">
        <v>3</v>
      </c>
      <c r="BA390" s="1"/>
      <c r="BB390" s="1" t="s">
        <v>3</v>
      </c>
      <c r="BC390" s="1" t="s">
        <v>3</v>
      </c>
      <c r="BD390" s="1" t="s">
        <v>3</v>
      </c>
      <c r="BE390" s="1" t="s">
        <v>3</v>
      </c>
      <c r="BF390" s="1" t="s">
        <v>3</v>
      </c>
      <c r="BG390" s="1" t="s">
        <v>3</v>
      </c>
      <c r="BH390" s="1" t="s">
        <v>3</v>
      </c>
      <c r="BI390" s="1" t="s">
        <v>3</v>
      </c>
      <c r="BJ390" s="1" t="s">
        <v>3</v>
      </c>
      <c r="BK390" s="1" t="s">
        <v>3</v>
      </c>
      <c r="BL390" s="1" t="s">
        <v>3</v>
      </c>
      <c r="BM390" s="1" t="s">
        <v>3</v>
      </c>
      <c r="BN390" s="1" t="s">
        <v>3</v>
      </c>
      <c r="BO390" s="1" t="s">
        <v>3</v>
      </c>
      <c r="BP390" s="1" t="s">
        <v>3</v>
      </c>
      <c r="BQ390" s="1"/>
      <c r="BR390" s="1"/>
      <c r="BS390" s="1"/>
      <c r="BT390" s="1"/>
      <c r="BU390" s="1"/>
      <c r="BV390" s="1"/>
      <c r="BW390" s="1"/>
      <c r="BX390" s="1">
        <v>0</v>
      </c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>
        <v>0</v>
      </c>
    </row>
    <row r="392" spans="1:245" x14ac:dyDescent="0.2">
      <c r="A392" s="2">
        <v>52</v>
      </c>
      <c r="B392" s="2">
        <f t="shared" ref="B392:G392" si="334">B413</f>
        <v>1</v>
      </c>
      <c r="C392" s="2">
        <f t="shared" si="334"/>
        <v>5</v>
      </c>
      <c r="D392" s="2">
        <f t="shared" si="334"/>
        <v>390</v>
      </c>
      <c r="E392" s="2">
        <f t="shared" si="334"/>
        <v>0</v>
      </c>
      <c r="F392" s="2" t="str">
        <f t="shared" si="334"/>
        <v>Новый подраздел</v>
      </c>
      <c r="G392" s="2" t="str">
        <f t="shared" si="334"/>
        <v>Автоматизация ИТП</v>
      </c>
      <c r="H392" s="2"/>
      <c r="I392" s="2"/>
      <c r="J392" s="2"/>
      <c r="K392" s="2"/>
      <c r="L392" s="2"/>
      <c r="M392" s="2"/>
      <c r="N392" s="2"/>
      <c r="O392" s="2">
        <f t="shared" ref="O392:AT392" si="335">O413</f>
        <v>117920.24</v>
      </c>
      <c r="P392" s="2">
        <f t="shared" si="335"/>
        <v>438.09</v>
      </c>
      <c r="Q392" s="2">
        <f t="shared" si="335"/>
        <v>357.7</v>
      </c>
      <c r="R392" s="2">
        <f t="shared" si="335"/>
        <v>194.02</v>
      </c>
      <c r="S392" s="2">
        <f t="shared" si="335"/>
        <v>117124.45</v>
      </c>
      <c r="T392" s="2">
        <f t="shared" si="335"/>
        <v>0</v>
      </c>
      <c r="U392" s="2">
        <f t="shared" si="335"/>
        <v>178.72000000000003</v>
      </c>
      <c r="V392" s="2">
        <f t="shared" si="335"/>
        <v>0</v>
      </c>
      <c r="W392" s="2">
        <f t="shared" si="335"/>
        <v>0</v>
      </c>
      <c r="X392" s="2">
        <f t="shared" si="335"/>
        <v>81987.12</v>
      </c>
      <c r="Y392" s="2">
        <f t="shared" si="335"/>
        <v>11712.45</v>
      </c>
      <c r="Z392" s="2">
        <f t="shared" si="335"/>
        <v>0</v>
      </c>
      <c r="AA392" s="2">
        <f t="shared" si="335"/>
        <v>0</v>
      </c>
      <c r="AB392" s="2">
        <f t="shared" si="335"/>
        <v>117920.24</v>
      </c>
      <c r="AC392" s="2">
        <f t="shared" si="335"/>
        <v>438.09</v>
      </c>
      <c r="AD392" s="2">
        <f t="shared" si="335"/>
        <v>357.7</v>
      </c>
      <c r="AE392" s="2">
        <f t="shared" si="335"/>
        <v>194.02</v>
      </c>
      <c r="AF392" s="2">
        <f t="shared" si="335"/>
        <v>117124.45</v>
      </c>
      <c r="AG392" s="2">
        <f t="shared" si="335"/>
        <v>0</v>
      </c>
      <c r="AH392" s="2">
        <f t="shared" si="335"/>
        <v>178.72000000000003</v>
      </c>
      <c r="AI392" s="2">
        <f t="shared" si="335"/>
        <v>0</v>
      </c>
      <c r="AJ392" s="2">
        <f t="shared" si="335"/>
        <v>0</v>
      </c>
      <c r="AK392" s="2">
        <f t="shared" si="335"/>
        <v>81987.12</v>
      </c>
      <c r="AL392" s="2">
        <f t="shared" si="335"/>
        <v>11712.45</v>
      </c>
      <c r="AM392" s="2">
        <f t="shared" si="335"/>
        <v>0</v>
      </c>
      <c r="AN392" s="2">
        <f t="shared" si="335"/>
        <v>0</v>
      </c>
      <c r="AO392" s="2">
        <f t="shared" si="335"/>
        <v>0</v>
      </c>
      <c r="AP392" s="2">
        <f t="shared" si="335"/>
        <v>0</v>
      </c>
      <c r="AQ392" s="2">
        <f t="shared" si="335"/>
        <v>0</v>
      </c>
      <c r="AR392" s="2">
        <f t="shared" si="335"/>
        <v>211829.35</v>
      </c>
      <c r="AS392" s="2">
        <f t="shared" si="335"/>
        <v>0</v>
      </c>
      <c r="AT392" s="2">
        <f t="shared" si="335"/>
        <v>0</v>
      </c>
      <c r="AU392" s="2">
        <f t="shared" ref="AU392:BZ392" si="336">AU413</f>
        <v>211829.35</v>
      </c>
      <c r="AV392" s="2">
        <f t="shared" si="336"/>
        <v>438.09</v>
      </c>
      <c r="AW392" s="2">
        <f t="shared" si="336"/>
        <v>438.09</v>
      </c>
      <c r="AX392" s="2">
        <f t="shared" si="336"/>
        <v>0</v>
      </c>
      <c r="AY392" s="2">
        <f t="shared" si="336"/>
        <v>438.09</v>
      </c>
      <c r="AZ392" s="2">
        <f t="shared" si="336"/>
        <v>0</v>
      </c>
      <c r="BA392" s="2">
        <f t="shared" si="336"/>
        <v>0</v>
      </c>
      <c r="BB392" s="2">
        <f t="shared" si="336"/>
        <v>0</v>
      </c>
      <c r="BC392" s="2">
        <f t="shared" si="336"/>
        <v>0</v>
      </c>
      <c r="BD392" s="2">
        <f t="shared" si="336"/>
        <v>0</v>
      </c>
      <c r="BE392" s="2">
        <f t="shared" si="336"/>
        <v>0</v>
      </c>
      <c r="BF392" s="2">
        <f t="shared" si="336"/>
        <v>0</v>
      </c>
      <c r="BG392" s="2">
        <f t="shared" si="336"/>
        <v>0</v>
      </c>
      <c r="BH392" s="2">
        <f t="shared" si="336"/>
        <v>0</v>
      </c>
      <c r="BI392" s="2">
        <f t="shared" si="336"/>
        <v>0</v>
      </c>
      <c r="BJ392" s="2">
        <f t="shared" si="336"/>
        <v>0</v>
      </c>
      <c r="BK392" s="2">
        <f t="shared" si="336"/>
        <v>0</v>
      </c>
      <c r="BL392" s="2">
        <f t="shared" si="336"/>
        <v>0</v>
      </c>
      <c r="BM392" s="2">
        <f t="shared" si="336"/>
        <v>0</v>
      </c>
      <c r="BN392" s="2">
        <f t="shared" si="336"/>
        <v>0</v>
      </c>
      <c r="BO392" s="2">
        <f t="shared" si="336"/>
        <v>0</v>
      </c>
      <c r="BP392" s="2">
        <f t="shared" si="336"/>
        <v>0</v>
      </c>
      <c r="BQ392" s="2">
        <f t="shared" si="336"/>
        <v>0</v>
      </c>
      <c r="BR392" s="2">
        <f t="shared" si="336"/>
        <v>0</v>
      </c>
      <c r="BS392" s="2">
        <f t="shared" si="336"/>
        <v>0</v>
      </c>
      <c r="BT392" s="2">
        <f t="shared" si="336"/>
        <v>0</v>
      </c>
      <c r="BU392" s="2">
        <f t="shared" si="336"/>
        <v>0</v>
      </c>
      <c r="BV392" s="2">
        <f t="shared" si="336"/>
        <v>0</v>
      </c>
      <c r="BW392" s="2">
        <f t="shared" si="336"/>
        <v>0</v>
      </c>
      <c r="BX392" s="2">
        <f t="shared" si="336"/>
        <v>0</v>
      </c>
      <c r="BY392" s="2">
        <f t="shared" si="336"/>
        <v>0</v>
      </c>
      <c r="BZ392" s="2">
        <f t="shared" si="336"/>
        <v>0</v>
      </c>
      <c r="CA392" s="2">
        <f t="shared" ref="CA392:DF392" si="337">CA413</f>
        <v>211829.35</v>
      </c>
      <c r="CB392" s="2">
        <f t="shared" si="337"/>
        <v>0</v>
      </c>
      <c r="CC392" s="2">
        <f t="shared" si="337"/>
        <v>0</v>
      </c>
      <c r="CD392" s="2">
        <f t="shared" si="337"/>
        <v>211829.35</v>
      </c>
      <c r="CE392" s="2">
        <f t="shared" si="337"/>
        <v>438.09</v>
      </c>
      <c r="CF392" s="2">
        <f t="shared" si="337"/>
        <v>438.09</v>
      </c>
      <c r="CG392" s="2">
        <f t="shared" si="337"/>
        <v>0</v>
      </c>
      <c r="CH392" s="2">
        <f t="shared" si="337"/>
        <v>438.09</v>
      </c>
      <c r="CI392" s="2">
        <f t="shared" si="337"/>
        <v>0</v>
      </c>
      <c r="CJ392" s="2">
        <f t="shared" si="337"/>
        <v>0</v>
      </c>
      <c r="CK392" s="2">
        <f t="shared" si="337"/>
        <v>0</v>
      </c>
      <c r="CL392" s="2">
        <f t="shared" si="337"/>
        <v>0</v>
      </c>
      <c r="CM392" s="2">
        <f t="shared" si="337"/>
        <v>0</v>
      </c>
      <c r="CN392" s="2">
        <f t="shared" si="337"/>
        <v>0</v>
      </c>
      <c r="CO392" s="2">
        <f t="shared" si="337"/>
        <v>0</v>
      </c>
      <c r="CP392" s="2">
        <f t="shared" si="337"/>
        <v>0</v>
      </c>
      <c r="CQ392" s="2">
        <f t="shared" si="337"/>
        <v>0</v>
      </c>
      <c r="CR392" s="2">
        <f t="shared" si="337"/>
        <v>0</v>
      </c>
      <c r="CS392" s="2">
        <f t="shared" si="337"/>
        <v>0</v>
      </c>
      <c r="CT392" s="2">
        <f t="shared" si="337"/>
        <v>0</v>
      </c>
      <c r="CU392" s="2">
        <f t="shared" si="337"/>
        <v>0</v>
      </c>
      <c r="CV392" s="2">
        <f t="shared" si="337"/>
        <v>0</v>
      </c>
      <c r="CW392" s="2">
        <f t="shared" si="337"/>
        <v>0</v>
      </c>
      <c r="CX392" s="2">
        <f t="shared" si="337"/>
        <v>0</v>
      </c>
      <c r="CY392" s="2">
        <f t="shared" si="337"/>
        <v>0</v>
      </c>
      <c r="CZ392" s="2">
        <f t="shared" si="337"/>
        <v>0</v>
      </c>
      <c r="DA392" s="2">
        <f t="shared" si="337"/>
        <v>0</v>
      </c>
      <c r="DB392" s="2">
        <f t="shared" si="337"/>
        <v>0</v>
      </c>
      <c r="DC392" s="2">
        <f t="shared" si="337"/>
        <v>0</v>
      </c>
      <c r="DD392" s="2">
        <f t="shared" si="337"/>
        <v>0</v>
      </c>
      <c r="DE392" s="2">
        <f t="shared" si="337"/>
        <v>0</v>
      </c>
      <c r="DF392" s="2">
        <f t="shared" si="337"/>
        <v>0</v>
      </c>
      <c r="DG392" s="3">
        <f t="shared" ref="DG392:EL392" si="338">DG413</f>
        <v>0</v>
      </c>
      <c r="DH392" s="3">
        <f t="shared" si="338"/>
        <v>0</v>
      </c>
      <c r="DI392" s="3">
        <f t="shared" si="338"/>
        <v>0</v>
      </c>
      <c r="DJ392" s="3">
        <f t="shared" si="338"/>
        <v>0</v>
      </c>
      <c r="DK392" s="3">
        <f t="shared" si="338"/>
        <v>0</v>
      </c>
      <c r="DL392" s="3">
        <f t="shared" si="338"/>
        <v>0</v>
      </c>
      <c r="DM392" s="3">
        <f t="shared" si="338"/>
        <v>0</v>
      </c>
      <c r="DN392" s="3">
        <f t="shared" si="338"/>
        <v>0</v>
      </c>
      <c r="DO392" s="3">
        <f t="shared" si="338"/>
        <v>0</v>
      </c>
      <c r="DP392" s="3">
        <f t="shared" si="338"/>
        <v>0</v>
      </c>
      <c r="DQ392" s="3">
        <f t="shared" si="338"/>
        <v>0</v>
      </c>
      <c r="DR392" s="3">
        <f t="shared" si="338"/>
        <v>0</v>
      </c>
      <c r="DS392" s="3">
        <f t="shared" si="338"/>
        <v>0</v>
      </c>
      <c r="DT392" s="3">
        <f t="shared" si="338"/>
        <v>0</v>
      </c>
      <c r="DU392" s="3">
        <f t="shared" si="338"/>
        <v>0</v>
      </c>
      <c r="DV392" s="3">
        <f t="shared" si="338"/>
        <v>0</v>
      </c>
      <c r="DW392" s="3">
        <f t="shared" si="338"/>
        <v>0</v>
      </c>
      <c r="DX392" s="3">
        <f t="shared" si="338"/>
        <v>0</v>
      </c>
      <c r="DY392" s="3">
        <f t="shared" si="338"/>
        <v>0</v>
      </c>
      <c r="DZ392" s="3">
        <f t="shared" si="338"/>
        <v>0</v>
      </c>
      <c r="EA392" s="3">
        <f t="shared" si="338"/>
        <v>0</v>
      </c>
      <c r="EB392" s="3">
        <f t="shared" si="338"/>
        <v>0</v>
      </c>
      <c r="EC392" s="3">
        <f t="shared" si="338"/>
        <v>0</v>
      </c>
      <c r="ED392" s="3">
        <f t="shared" si="338"/>
        <v>0</v>
      </c>
      <c r="EE392" s="3">
        <f t="shared" si="338"/>
        <v>0</v>
      </c>
      <c r="EF392" s="3">
        <f t="shared" si="338"/>
        <v>0</v>
      </c>
      <c r="EG392" s="3">
        <f t="shared" si="338"/>
        <v>0</v>
      </c>
      <c r="EH392" s="3">
        <f t="shared" si="338"/>
        <v>0</v>
      </c>
      <c r="EI392" s="3">
        <f t="shared" si="338"/>
        <v>0</v>
      </c>
      <c r="EJ392" s="3">
        <f t="shared" si="338"/>
        <v>0</v>
      </c>
      <c r="EK392" s="3">
        <f t="shared" si="338"/>
        <v>0</v>
      </c>
      <c r="EL392" s="3">
        <f t="shared" si="338"/>
        <v>0</v>
      </c>
      <c r="EM392" s="3">
        <f t="shared" ref="EM392:FR392" si="339">EM413</f>
        <v>0</v>
      </c>
      <c r="EN392" s="3">
        <f t="shared" si="339"/>
        <v>0</v>
      </c>
      <c r="EO392" s="3">
        <f t="shared" si="339"/>
        <v>0</v>
      </c>
      <c r="EP392" s="3">
        <f t="shared" si="339"/>
        <v>0</v>
      </c>
      <c r="EQ392" s="3">
        <f t="shared" si="339"/>
        <v>0</v>
      </c>
      <c r="ER392" s="3">
        <f t="shared" si="339"/>
        <v>0</v>
      </c>
      <c r="ES392" s="3">
        <f t="shared" si="339"/>
        <v>0</v>
      </c>
      <c r="ET392" s="3">
        <f t="shared" si="339"/>
        <v>0</v>
      </c>
      <c r="EU392" s="3">
        <f t="shared" si="339"/>
        <v>0</v>
      </c>
      <c r="EV392" s="3">
        <f t="shared" si="339"/>
        <v>0</v>
      </c>
      <c r="EW392" s="3">
        <f t="shared" si="339"/>
        <v>0</v>
      </c>
      <c r="EX392" s="3">
        <f t="shared" si="339"/>
        <v>0</v>
      </c>
      <c r="EY392" s="3">
        <f t="shared" si="339"/>
        <v>0</v>
      </c>
      <c r="EZ392" s="3">
        <f t="shared" si="339"/>
        <v>0</v>
      </c>
      <c r="FA392" s="3">
        <f t="shared" si="339"/>
        <v>0</v>
      </c>
      <c r="FB392" s="3">
        <f t="shared" si="339"/>
        <v>0</v>
      </c>
      <c r="FC392" s="3">
        <f t="shared" si="339"/>
        <v>0</v>
      </c>
      <c r="FD392" s="3">
        <f t="shared" si="339"/>
        <v>0</v>
      </c>
      <c r="FE392" s="3">
        <f t="shared" si="339"/>
        <v>0</v>
      </c>
      <c r="FF392" s="3">
        <f t="shared" si="339"/>
        <v>0</v>
      </c>
      <c r="FG392" s="3">
        <f t="shared" si="339"/>
        <v>0</v>
      </c>
      <c r="FH392" s="3">
        <f t="shared" si="339"/>
        <v>0</v>
      </c>
      <c r="FI392" s="3">
        <f t="shared" si="339"/>
        <v>0</v>
      </c>
      <c r="FJ392" s="3">
        <f t="shared" si="339"/>
        <v>0</v>
      </c>
      <c r="FK392" s="3">
        <f t="shared" si="339"/>
        <v>0</v>
      </c>
      <c r="FL392" s="3">
        <f t="shared" si="339"/>
        <v>0</v>
      </c>
      <c r="FM392" s="3">
        <f t="shared" si="339"/>
        <v>0</v>
      </c>
      <c r="FN392" s="3">
        <f t="shared" si="339"/>
        <v>0</v>
      </c>
      <c r="FO392" s="3">
        <f t="shared" si="339"/>
        <v>0</v>
      </c>
      <c r="FP392" s="3">
        <f t="shared" si="339"/>
        <v>0</v>
      </c>
      <c r="FQ392" s="3">
        <f t="shared" si="339"/>
        <v>0</v>
      </c>
      <c r="FR392" s="3">
        <f t="shared" si="339"/>
        <v>0</v>
      </c>
      <c r="FS392" s="3">
        <f t="shared" ref="FS392:GX392" si="340">FS413</f>
        <v>0</v>
      </c>
      <c r="FT392" s="3">
        <f t="shared" si="340"/>
        <v>0</v>
      </c>
      <c r="FU392" s="3">
        <f t="shared" si="340"/>
        <v>0</v>
      </c>
      <c r="FV392" s="3">
        <f t="shared" si="340"/>
        <v>0</v>
      </c>
      <c r="FW392" s="3">
        <f t="shared" si="340"/>
        <v>0</v>
      </c>
      <c r="FX392" s="3">
        <f t="shared" si="340"/>
        <v>0</v>
      </c>
      <c r="FY392" s="3">
        <f t="shared" si="340"/>
        <v>0</v>
      </c>
      <c r="FZ392" s="3">
        <f t="shared" si="340"/>
        <v>0</v>
      </c>
      <c r="GA392" s="3">
        <f t="shared" si="340"/>
        <v>0</v>
      </c>
      <c r="GB392" s="3">
        <f t="shared" si="340"/>
        <v>0</v>
      </c>
      <c r="GC392" s="3">
        <f t="shared" si="340"/>
        <v>0</v>
      </c>
      <c r="GD392" s="3">
        <f t="shared" si="340"/>
        <v>0</v>
      </c>
      <c r="GE392" s="3">
        <f t="shared" si="340"/>
        <v>0</v>
      </c>
      <c r="GF392" s="3">
        <f t="shared" si="340"/>
        <v>0</v>
      </c>
      <c r="GG392" s="3">
        <f t="shared" si="340"/>
        <v>0</v>
      </c>
      <c r="GH392" s="3">
        <f t="shared" si="340"/>
        <v>0</v>
      </c>
      <c r="GI392" s="3">
        <f t="shared" si="340"/>
        <v>0</v>
      </c>
      <c r="GJ392" s="3">
        <f t="shared" si="340"/>
        <v>0</v>
      </c>
      <c r="GK392" s="3">
        <f t="shared" si="340"/>
        <v>0</v>
      </c>
      <c r="GL392" s="3">
        <f t="shared" si="340"/>
        <v>0</v>
      </c>
      <c r="GM392" s="3">
        <f t="shared" si="340"/>
        <v>0</v>
      </c>
      <c r="GN392" s="3">
        <f t="shared" si="340"/>
        <v>0</v>
      </c>
      <c r="GO392" s="3">
        <f t="shared" si="340"/>
        <v>0</v>
      </c>
      <c r="GP392" s="3">
        <f t="shared" si="340"/>
        <v>0</v>
      </c>
      <c r="GQ392" s="3">
        <f t="shared" si="340"/>
        <v>0</v>
      </c>
      <c r="GR392" s="3">
        <f t="shared" si="340"/>
        <v>0</v>
      </c>
      <c r="GS392" s="3">
        <f t="shared" si="340"/>
        <v>0</v>
      </c>
      <c r="GT392" s="3">
        <f t="shared" si="340"/>
        <v>0</v>
      </c>
      <c r="GU392" s="3">
        <f t="shared" si="340"/>
        <v>0</v>
      </c>
      <c r="GV392" s="3">
        <f t="shared" si="340"/>
        <v>0</v>
      </c>
      <c r="GW392" s="3">
        <f t="shared" si="340"/>
        <v>0</v>
      </c>
      <c r="GX392" s="3">
        <f t="shared" si="340"/>
        <v>0</v>
      </c>
    </row>
    <row r="394" spans="1:245" x14ac:dyDescent="0.2">
      <c r="A394">
        <v>17</v>
      </c>
      <c r="B394">
        <v>1</v>
      </c>
      <c r="D394">
        <f>ROW(EtalonRes!A208)</f>
        <v>208</v>
      </c>
      <c r="E394" t="s">
        <v>73</v>
      </c>
      <c r="F394" t="s">
        <v>354</v>
      </c>
      <c r="G394" t="s">
        <v>355</v>
      </c>
      <c r="H394" t="s">
        <v>42</v>
      </c>
      <c r="I394">
        <v>1</v>
      </c>
      <c r="J394">
        <v>0</v>
      </c>
      <c r="K394">
        <v>1</v>
      </c>
      <c r="O394">
        <f t="shared" ref="O394:O411" si="341">ROUND(CP394,2)</f>
        <v>522.52</v>
      </c>
      <c r="P394">
        <f t="shared" ref="P394:P411" si="342">ROUND(CQ394*I394,2)</f>
        <v>0.04</v>
      </c>
      <c r="Q394">
        <f t="shared" ref="Q394:Q411" si="343">ROUND(CR394*I394,2)</f>
        <v>0</v>
      </c>
      <c r="R394">
        <f t="shared" ref="R394:R411" si="344">ROUND(CS394*I394,2)</f>
        <v>0</v>
      </c>
      <c r="S394">
        <f t="shared" ref="S394:S411" si="345">ROUND(CT394*I394,2)</f>
        <v>522.48</v>
      </c>
      <c r="T394">
        <f t="shared" ref="T394:T411" si="346">ROUND(CU394*I394,2)</f>
        <v>0</v>
      </c>
      <c r="U394">
        <f t="shared" ref="U394:U411" si="347">CV394*I394</f>
        <v>1.2</v>
      </c>
      <c r="V394">
        <f t="shared" ref="V394:V411" si="348">CW394*I394</f>
        <v>0</v>
      </c>
      <c r="W394">
        <f t="shared" ref="W394:W411" si="349">ROUND(CX394*I394,2)</f>
        <v>0</v>
      </c>
      <c r="X394">
        <f t="shared" ref="X394:X411" si="350">ROUND(CY394,2)</f>
        <v>365.74</v>
      </c>
      <c r="Y394">
        <f t="shared" ref="Y394:Y411" si="351">ROUND(CZ394,2)</f>
        <v>52.25</v>
      </c>
      <c r="AA394">
        <v>1407491423</v>
      </c>
      <c r="AB394">
        <f t="shared" ref="AB394:AB411" si="352">ROUND((AC394+AD394+AF394),6)</f>
        <v>522.52</v>
      </c>
      <c r="AC394">
        <f>ROUND(((ES394*4)),6)</f>
        <v>0.04</v>
      </c>
      <c r="AD394">
        <f>ROUND(((((ET394*4))-((EU394*4)))+AE394),6)</f>
        <v>0</v>
      </c>
      <c r="AE394">
        <f>ROUND(((EU394*4)),6)</f>
        <v>0</v>
      </c>
      <c r="AF394">
        <f>ROUND(((EV394*4)),6)</f>
        <v>522.48</v>
      </c>
      <c r="AG394">
        <f t="shared" ref="AG394:AG411" si="353">ROUND((AP394),6)</f>
        <v>0</v>
      </c>
      <c r="AH394">
        <f>((EW394*4))</f>
        <v>1.2</v>
      </c>
      <c r="AI394">
        <f>((EX394*4))</f>
        <v>0</v>
      </c>
      <c r="AJ394">
        <f t="shared" ref="AJ394:AJ411" si="354">(AS394)</f>
        <v>0</v>
      </c>
      <c r="AK394">
        <v>130.63</v>
      </c>
      <c r="AL394">
        <v>0.01</v>
      </c>
      <c r="AM394">
        <v>0</v>
      </c>
      <c r="AN394">
        <v>0</v>
      </c>
      <c r="AO394">
        <v>130.62</v>
      </c>
      <c r="AP394">
        <v>0</v>
      </c>
      <c r="AQ394">
        <v>0.3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356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3</v>
      </c>
      <c r="CO394">
        <v>0</v>
      </c>
      <c r="CP394">
        <f t="shared" ref="CP394:CP411" si="355">(P394+Q394+S394)</f>
        <v>522.52</v>
      </c>
      <c r="CQ394">
        <f t="shared" ref="CQ394:CQ411" si="356">(AC394*BC394*AW394)</f>
        <v>0.04</v>
      </c>
      <c r="CR394">
        <f>(((((ET394*4))*BB394-((EU394*4))*BS394)+AE394*BS394)*AV394)</f>
        <v>0</v>
      </c>
      <c r="CS394">
        <f t="shared" ref="CS394:CS411" si="357">(AE394*BS394*AV394)</f>
        <v>0</v>
      </c>
      <c r="CT394">
        <f t="shared" ref="CT394:CT411" si="358">(AF394*BA394*AV394)</f>
        <v>522.48</v>
      </c>
      <c r="CU394">
        <f t="shared" ref="CU394:CU411" si="359">AG394</f>
        <v>0</v>
      </c>
      <c r="CV394">
        <f t="shared" ref="CV394:CV411" si="360">(AH394*AV394)</f>
        <v>1.2</v>
      </c>
      <c r="CW394">
        <f t="shared" ref="CW394:CW411" si="361">AI394</f>
        <v>0</v>
      </c>
      <c r="CX394">
        <f t="shared" ref="CX394:CX411" si="362">AJ394</f>
        <v>0</v>
      </c>
      <c r="CY394">
        <f t="shared" ref="CY394:CY411" si="363">((S394*BZ394)/100)</f>
        <v>365.73599999999999</v>
      </c>
      <c r="CZ394">
        <f t="shared" ref="CZ394:CZ411" si="364">((S394*CA394)/100)</f>
        <v>52.248000000000005</v>
      </c>
      <c r="DC394" t="s">
        <v>3</v>
      </c>
      <c r="DD394" t="s">
        <v>20</v>
      </c>
      <c r="DE394" t="s">
        <v>20</v>
      </c>
      <c r="DF394" t="s">
        <v>20</v>
      </c>
      <c r="DG394" t="s">
        <v>20</v>
      </c>
      <c r="DH394" t="s">
        <v>3</v>
      </c>
      <c r="DI394" t="s">
        <v>20</v>
      </c>
      <c r="DJ394" t="s">
        <v>20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42</v>
      </c>
      <c r="DW394" t="s">
        <v>42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1364533919</v>
      </c>
      <c r="EF394">
        <v>1</v>
      </c>
      <c r="EG394" t="s">
        <v>21</v>
      </c>
      <c r="EH394">
        <v>0</v>
      </c>
      <c r="EI394" t="s">
        <v>3</v>
      </c>
      <c r="EJ394">
        <v>4</v>
      </c>
      <c r="EK394">
        <v>0</v>
      </c>
      <c r="EL394" t="s">
        <v>22</v>
      </c>
      <c r="EM394" t="s">
        <v>23</v>
      </c>
      <c r="EO394" t="s">
        <v>3</v>
      </c>
      <c r="EQ394">
        <v>0</v>
      </c>
      <c r="ER394">
        <v>130.63</v>
      </c>
      <c r="ES394">
        <v>0.01</v>
      </c>
      <c r="ET394">
        <v>0</v>
      </c>
      <c r="EU394">
        <v>0</v>
      </c>
      <c r="EV394">
        <v>130.62</v>
      </c>
      <c r="EW394">
        <v>0.3</v>
      </c>
      <c r="EX394">
        <v>0</v>
      </c>
      <c r="EY394">
        <v>0</v>
      </c>
      <c r="FQ394">
        <v>0</v>
      </c>
      <c r="FR394">
        <f t="shared" ref="FR394:FR411" si="365">ROUND(IF(BI394=3,GM394,0),2)</f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-60921149</v>
      </c>
      <c r="GG394">
        <v>2</v>
      </c>
      <c r="GH394">
        <v>1</v>
      </c>
      <c r="GI394">
        <v>-2</v>
      </c>
      <c r="GJ394">
        <v>0</v>
      </c>
      <c r="GK394">
        <f>ROUND(R394*(R12)/100,2)</f>
        <v>0</v>
      </c>
      <c r="GL394">
        <f t="shared" ref="GL394:GL411" si="366">ROUND(IF(AND(BH394=3,BI394=3,FS394&lt;&gt;0),P394,0),2)</f>
        <v>0</v>
      </c>
      <c r="GM394">
        <f t="shared" ref="GM394:GM411" si="367">ROUND(O394+X394+Y394+GK394,2)+GX394</f>
        <v>940.51</v>
      </c>
      <c r="GN394">
        <f t="shared" ref="GN394:GN411" si="368">IF(OR(BI394=0,BI394=1),ROUND(O394+X394+Y394+GK394,2),0)</f>
        <v>0</v>
      </c>
      <c r="GO394">
        <f t="shared" ref="GO394:GO411" si="369">IF(BI394=2,ROUND(O394+X394+Y394+GK394,2),0)</f>
        <v>0</v>
      </c>
      <c r="GP394">
        <f t="shared" ref="GP394:GP411" si="370">IF(BI394=4,ROUND(O394+X394+Y394+GK394,2)+GX394,0)</f>
        <v>940.51</v>
      </c>
      <c r="GR394">
        <v>0</v>
      </c>
      <c r="GS394">
        <v>3</v>
      </c>
      <c r="GT394">
        <v>0</v>
      </c>
      <c r="GU394" t="s">
        <v>3</v>
      </c>
      <c r="GV394">
        <f t="shared" ref="GV394:GV411" si="371">ROUND((GT394),6)</f>
        <v>0</v>
      </c>
      <c r="GW394">
        <v>1</v>
      </c>
      <c r="GX394">
        <f t="shared" ref="GX394:GX411" si="372">ROUND(HC394*I394,2)</f>
        <v>0</v>
      </c>
      <c r="HA394">
        <v>0</v>
      </c>
      <c r="HB394">
        <v>0</v>
      </c>
      <c r="HC394">
        <f t="shared" ref="HC394:HC411" si="373">GV394*GW394</f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D395">
        <f>ROW(EtalonRes!A212)</f>
        <v>212</v>
      </c>
      <c r="E395" t="s">
        <v>129</v>
      </c>
      <c r="F395" t="s">
        <v>357</v>
      </c>
      <c r="G395" t="s">
        <v>358</v>
      </c>
      <c r="H395" t="s">
        <v>42</v>
      </c>
      <c r="I395">
        <v>5</v>
      </c>
      <c r="J395">
        <v>0</v>
      </c>
      <c r="K395">
        <v>5</v>
      </c>
      <c r="O395">
        <f t="shared" si="341"/>
        <v>419.55</v>
      </c>
      <c r="P395">
        <f t="shared" si="342"/>
        <v>21.75</v>
      </c>
      <c r="Q395">
        <f t="shared" si="343"/>
        <v>0</v>
      </c>
      <c r="R395">
        <f t="shared" si="344"/>
        <v>0</v>
      </c>
      <c r="S395">
        <f t="shared" si="345"/>
        <v>397.8</v>
      </c>
      <c r="T395">
        <f t="shared" si="346"/>
        <v>0</v>
      </c>
      <c r="U395">
        <f t="shared" si="347"/>
        <v>0.75000000000000011</v>
      </c>
      <c r="V395">
        <f t="shared" si="348"/>
        <v>0</v>
      </c>
      <c r="W395">
        <f t="shared" si="349"/>
        <v>0</v>
      </c>
      <c r="X395">
        <f t="shared" si="350"/>
        <v>278.45999999999998</v>
      </c>
      <c r="Y395">
        <f t="shared" si="351"/>
        <v>39.78</v>
      </c>
      <c r="AA395">
        <v>1407491423</v>
      </c>
      <c r="AB395">
        <f t="shared" si="352"/>
        <v>83.91</v>
      </c>
      <c r="AC395">
        <f>ROUND(((ES395*3)),6)</f>
        <v>4.3499999999999996</v>
      </c>
      <c r="AD395">
        <f>ROUND(((((ET395*3))-((EU395*3)))+AE395),6)</f>
        <v>0</v>
      </c>
      <c r="AE395">
        <f>ROUND(((EU395*3)),6)</f>
        <v>0</v>
      </c>
      <c r="AF395">
        <f>ROUND(((EV395*3)),6)</f>
        <v>79.56</v>
      </c>
      <c r="AG395">
        <f t="shared" si="353"/>
        <v>0</v>
      </c>
      <c r="AH395">
        <f>((EW395*3))</f>
        <v>0.15000000000000002</v>
      </c>
      <c r="AI395">
        <f>((EX395*3))</f>
        <v>0</v>
      </c>
      <c r="AJ395">
        <f t="shared" si="354"/>
        <v>0</v>
      </c>
      <c r="AK395">
        <v>27.97</v>
      </c>
      <c r="AL395">
        <v>1.45</v>
      </c>
      <c r="AM395">
        <v>0</v>
      </c>
      <c r="AN395">
        <v>0</v>
      </c>
      <c r="AO395">
        <v>26.52</v>
      </c>
      <c r="AP395">
        <v>0</v>
      </c>
      <c r="AQ395">
        <v>0.05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359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55"/>
        <v>419.55</v>
      </c>
      <c r="CQ395">
        <f t="shared" si="356"/>
        <v>4.3499999999999996</v>
      </c>
      <c r="CR395">
        <f>(((((ET395*3))*BB395-((EU395*3))*BS395)+AE395*BS395)*AV395)</f>
        <v>0</v>
      </c>
      <c r="CS395">
        <f t="shared" si="357"/>
        <v>0</v>
      </c>
      <c r="CT395">
        <f t="shared" si="358"/>
        <v>79.56</v>
      </c>
      <c r="CU395">
        <f t="shared" si="359"/>
        <v>0</v>
      </c>
      <c r="CV395">
        <f t="shared" si="360"/>
        <v>0.15000000000000002</v>
      </c>
      <c r="CW395">
        <f t="shared" si="361"/>
        <v>0</v>
      </c>
      <c r="CX395">
        <f t="shared" si="362"/>
        <v>0</v>
      </c>
      <c r="CY395">
        <f t="shared" si="363"/>
        <v>278.45999999999998</v>
      </c>
      <c r="CZ395">
        <f t="shared" si="364"/>
        <v>39.78</v>
      </c>
      <c r="DC395" t="s">
        <v>3</v>
      </c>
      <c r="DD395" t="s">
        <v>69</v>
      </c>
      <c r="DE395" t="s">
        <v>69</v>
      </c>
      <c r="DF395" t="s">
        <v>69</v>
      </c>
      <c r="DG395" t="s">
        <v>69</v>
      </c>
      <c r="DH395" t="s">
        <v>3</v>
      </c>
      <c r="DI395" t="s">
        <v>69</v>
      </c>
      <c r="DJ395" t="s">
        <v>69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42</v>
      </c>
      <c r="DW395" t="s">
        <v>42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1364533919</v>
      </c>
      <c r="EF395">
        <v>1</v>
      </c>
      <c r="EG395" t="s">
        <v>21</v>
      </c>
      <c r="EH395">
        <v>0</v>
      </c>
      <c r="EI395" t="s">
        <v>3</v>
      </c>
      <c r="EJ395">
        <v>4</v>
      </c>
      <c r="EK395">
        <v>0</v>
      </c>
      <c r="EL395" t="s">
        <v>22</v>
      </c>
      <c r="EM395" t="s">
        <v>23</v>
      </c>
      <c r="EO395" t="s">
        <v>3</v>
      </c>
      <c r="EQ395">
        <v>0</v>
      </c>
      <c r="ER395">
        <v>27.97</v>
      </c>
      <c r="ES395">
        <v>1.45</v>
      </c>
      <c r="ET395">
        <v>0</v>
      </c>
      <c r="EU395">
        <v>0</v>
      </c>
      <c r="EV395">
        <v>26.52</v>
      </c>
      <c r="EW395">
        <v>0.05</v>
      </c>
      <c r="EX395">
        <v>0</v>
      </c>
      <c r="EY395">
        <v>0</v>
      </c>
      <c r="FQ395">
        <v>0</v>
      </c>
      <c r="FR395">
        <f t="shared" si="365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1491201477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66"/>
        <v>0</v>
      </c>
      <c r="GM395">
        <f t="shared" si="367"/>
        <v>737.79</v>
      </c>
      <c r="GN395">
        <f t="shared" si="368"/>
        <v>0</v>
      </c>
      <c r="GO395">
        <f t="shared" si="369"/>
        <v>0</v>
      </c>
      <c r="GP395">
        <f t="shared" si="370"/>
        <v>737.79</v>
      </c>
      <c r="GR395">
        <v>0</v>
      </c>
      <c r="GS395">
        <v>3</v>
      </c>
      <c r="GT395">
        <v>0</v>
      </c>
      <c r="GU395" t="s">
        <v>3</v>
      </c>
      <c r="GV395">
        <f t="shared" si="371"/>
        <v>0</v>
      </c>
      <c r="GW395">
        <v>1</v>
      </c>
      <c r="GX395">
        <f t="shared" si="372"/>
        <v>0</v>
      </c>
      <c r="HA395">
        <v>0</v>
      </c>
      <c r="HB395">
        <v>0</v>
      </c>
      <c r="HC395">
        <f t="shared" si="373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ROW(EtalonRes!A218)</f>
        <v>218</v>
      </c>
      <c r="E396" t="s">
        <v>130</v>
      </c>
      <c r="F396" t="s">
        <v>360</v>
      </c>
      <c r="G396" t="s">
        <v>361</v>
      </c>
      <c r="H396" t="s">
        <v>42</v>
      </c>
      <c r="I396">
        <v>5</v>
      </c>
      <c r="J396">
        <v>0</v>
      </c>
      <c r="K396">
        <v>5</v>
      </c>
      <c r="O396">
        <f t="shared" si="341"/>
        <v>4059.7</v>
      </c>
      <c r="P396">
        <f t="shared" si="342"/>
        <v>81.3</v>
      </c>
      <c r="Q396">
        <f t="shared" si="343"/>
        <v>0</v>
      </c>
      <c r="R396">
        <f t="shared" si="344"/>
        <v>0</v>
      </c>
      <c r="S396">
        <f t="shared" si="345"/>
        <v>3978.4</v>
      </c>
      <c r="T396">
        <f t="shared" si="346"/>
        <v>0</v>
      </c>
      <c r="U396">
        <f t="shared" si="347"/>
        <v>7.5</v>
      </c>
      <c r="V396">
        <f t="shared" si="348"/>
        <v>0</v>
      </c>
      <c r="W396">
        <f t="shared" si="349"/>
        <v>0</v>
      </c>
      <c r="X396">
        <f t="shared" si="350"/>
        <v>2784.88</v>
      </c>
      <c r="Y396">
        <f t="shared" si="351"/>
        <v>397.84</v>
      </c>
      <c r="AA396">
        <v>1407491423</v>
      </c>
      <c r="AB396">
        <f t="shared" si="352"/>
        <v>811.94</v>
      </c>
      <c r="AC396">
        <f>ROUND((ES396),6)</f>
        <v>16.260000000000002</v>
      </c>
      <c r="AD396">
        <f>ROUND((((ET396)-(EU396))+AE396),6)</f>
        <v>0</v>
      </c>
      <c r="AE396">
        <f>ROUND((EU396),6)</f>
        <v>0</v>
      </c>
      <c r="AF396">
        <f>ROUND((EV396),6)</f>
        <v>795.68</v>
      </c>
      <c r="AG396">
        <f t="shared" si="353"/>
        <v>0</v>
      </c>
      <c r="AH396">
        <f>(EW396)</f>
        <v>1.5</v>
      </c>
      <c r="AI396">
        <f>(EX396)</f>
        <v>0</v>
      </c>
      <c r="AJ396">
        <f t="shared" si="354"/>
        <v>0</v>
      </c>
      <c r="AK396">
        <v>811.94</v>
      </c>
      <c r="AL396">
        <v>16.260000000000002</v>
      </c>
      <c r="AM396">
        <v>0</v>
      </c>
      <c r="AN396">
        <v>0</v>
      </c>
      <c r="AO396">
        <v>795.68</v>
      </c>
      <c r="AP396">
        <v>0</v>
      </c>
      <c r="AQ396">
        <v>1.5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362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355"/>
        <v>4059.7000000000003</v>
      </c>
      <c r="CQ396">
        <f t="shared" si="356"/>
        <v>16.260000000000002</v>
      </c>
      <c r="CR396">
        <f>((((ET396)*BB396-(EU396)*BS396)+AE396*BS396)*AV396)</f>
        <v>0</v>
      </c>
      <c r="CS396">
        <f t="shared" si="357"/>
        <v>0</v>
      </c>
      <c r="CT396">
        <f t="shared" si="358"/>
        <v>795.68</v>
      </c>
      <c r="CU396">
        <f t="shared" si="359"/>
        <v>0</v>
      </c>
      <c r="CV396">
        <f t="shared" si="360"/>
        <v>1.5</v>
      </c>
      <c r="CW396">
        <f t="shared" si="361"/>
        <v>0</v>
      </c>
      <c r="CX396">
        <f t="shared" si="362"/>
        <v>0</v>
      </c>
      <c r="CY396">
        <f t="shared" si="363"/>
        <v>2784.88</v>
      </c>
      <c r="CZ396">
        <f t="shared" si="364"/>
        <v>397.84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42</v>
      </c>
      <c r="DW396" t="s">
        <v>42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1364533919</v>
      </c>
      <c r="EF396">
        <v>1</v>
      </c>
      <c r="EG396" t="s">
        <v>21</v>
      </c>
      <c r="EH396">
        <v>0</v>
      </c>
      <c r="EI396" t="s">
        <v>3</v>
      </c>
      <c r="EJ396">
        <v>4</v>
      </c>
      <c r="EK396">
        <v>0</v>
      </c>
      <c r="EL396" t="s">
        <v>22</v>
      </c>
      <c r="EM396" t="s">
        <v>23</v>
      </c>
      <c r="EO396" t="s">
        <v>3</v>
      </c>
      <c r="EQ396">
        <v>0</v>
      </c>
      <c r="ER396">
        <v>811.94</v>
      </c>
      <c r="ES396">
        <v>16.260000000000002</v>
      </c>
      <c r="ET396">
        <v>0</v>
      </c>
      <c r="EU396">
        <v>0</v>
      </c>
      <c r="EV396">
        <v>795.68</v>
      </c>
      <c r="EW396">
        <v>1.5</v>
      </c>
      <c r="EX396">
        <v>0</v>
      </c>
      <c r="EY396">
        <v>0</v>
      </c>
      <c r="FQ396">
        <v>0</v>
      </c>
      <c r="FR396">
        <f t="shared" si="365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-935043671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366"/>
        <v>0</v>
      </c>
      <c r="GM396">
        <f t="shared" si="367"/>
        <v>7242.42</v>
      </c>
      <c r="GN396">
        <f t="shared" si="368"/>
        <v>0</v>
      </c>
      <c r="GO396">
        <f t="shared" si="369"/>
        <v>0</v>
      </c>
      <c r="GP396">
        <f t="shared" si="370"/>
        <v>7242.42</v>
      </c>
      <c r="GR396">
        <v>0</v>
      </c>
      <c r="GS396">
        <v>3</v>
      </c>
      <c r="GT396">
        <v>0</v>
      </c>
      <c r="GU396" t="s">
        <v>3</v>
      </c>
      <c r="GV396">
        <f t="shared" si="371"/>
        <v>0</v>
      </c>
      <c r="GW396">
        <v>1</v>
      </c>
      <c r="GX396">
        <f t="shared" si="372"/>
        <v>0</v>
      </c>
      <c r="HA396">
        <v>0</v>
      </c>
      <c r="HB396">
        <v>0</v>
      </c>
      <c r="HC396">
        <f t="shared" si="373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1</v>
      </c>
      <c r="D397">
        <f>ROW(EtalonRes!A220)</f>
        <v>220</v>
      </c>
      <c r="E397" t="s">
        <v>134</v>
      </c>
      <c r="F397" t="s">
        <v>363</v>
      </c>
      <c r="G397" t="s">
        <v>364</v>
      </c>
      <c r="H397" t="s">
        <v>42</v>
      </c>
      <c r="I397">
        <v>6</v>
      </c>
      <c r="J397">
        <v>0</v>
      </c>
      <c r="K397">
        <v>6</v>
      </c>
      <c r="O397">
        <f t="shared" si="341"/>
        <v>382.14</v>
      </c>
      <c r="P397">
        <f t="shared" si="342"/>
        <v>0.18</v>
      </c>
      <c r="Q397">
        <f t="shared" si="343"/>
        <v>0</v>
      </c>
      <c r="R397">
        <f t="shared" si="344"/>
        <v>0</v>
      </c>
      <c r="S397">
        <f t="shared" si="345"/>
        <v>381.96</v>
      </c>
      <c r="T397">
        <f t="shared" si="346"/>
        <v>0</v>
      </c>
      <c r="U397">
        <f t="shared" si="347"/>
        <v>0.72</v>
      </c>
      <c r="V397">
        <f t="shared" si="348"/>
        <v>0</v>
      </c>
      <c r="W397">
        <f t="shared" si="349"/>
        <v>0</v>
      </c>
      <c r="X397">
        <f t="shared" si="350"/>
        <v>267.37</v>
      </c>
      <c r="Y397">
        <f t="shared" si="351"/>
        <v>38.200000000000003</v>
      </c>
      <c r="AA397">
        <v>1407491423</v>
      </c>
      <c r="AB397">
        <f t="shared" si="352"/>
        <v>63.69</v>
      </c>
      <c r="AC397">
        <f>ROUND(((ES397*3)),6)</f>
        <v>0.03</v>
      </c>
      <c r="AD397">
        <f>ROUND(((((ET397*3))-((EU397*3)))+AE397),6)</f>
        <v>0</v>
      </c>
      <c r="AE397">
        <f>ROUND(((EU397*3)),6)</f>
        <v>0</v>
      </c>
      <c r="AF397">
        <f>ROUND(((EV397*3)),6)</f>
        <v>63.66</v>
      </c>
      <c r="AG397">
        <f t="shared" si="353"/>
        <v>0</v>
      </c>
      <c r="AH397">
        <f>((EW397*3))</f>
        <v>0.12</v>
      </c>
      <c r="AI397">
        <f>((EX397*3))</f>
        <v>0</v>
      </c>
      <c r="AJ397">
        <f t="shared" si="354"/>
        <v>0</v>
      </c>
      <c r="AK397">
        <v>21.23</v>
      </c>
      <c r="AL397">
        <v>0.01</v>
      </c>
      <c r="AM397">
        <v>0</v>
      </c>
      <c r="AN397">
        <v>0</v>
      </c>
      <c r="AO397">
        <v>21.22</v>
      </c>
      <c r="AP397">
        <v>0</v>
      </c>
      <c r="AQ397">
        <v>0.04</v>
      </c>
      <c r="AR397">
        <v>0</v>
      </c>
      <c r="AS397">
        <v>0</v>
      </c>
      <c r="AT397">
        <v>70</v>
      </c>
      <c r="AU397">
        <v>10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1</v>
      </c>
      <c r="BD397" t="s">
        <v>3</v>
      </c>
      <c r="BE397" t="s">
        <v>3</v>
      </c>
      <c r="BF397" t="s">
        <v>3</v>
      </c>
      <c r="BG397" t="s">
        <v>3</v>
      </c>
      <c r="BH397">
        <v>0</v>
      </c>
      <c r="BI397">
        <v>4</v>
      </c>
      <c r="BJ397" t="s">
        <v>365</v>
      </c>
      <c r="BM397">
        <v>0</v>
      </c>
      <c r="BN397">
        <v>0</v>
      </c>
      <c r="BO397" t="s">
        <v>3</v>
      </c>
      <c r="BP397">
        <v>0</v>
      </c>
      <c r="BQ397">
        <v>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70</v>
      </c>
      <c r="CA397">
        <v>10</v>
      </c>
      <c r="CB397" t="s">
        <v>3</v>
      </c>
      <c r="CE397">
        <v>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355"/>
        <v>382.14</v>
      </c>
      <c r="CQ397">
        <f t="shared" si="356"/>
        <v>0.03</v>
      </c>
      <c r="CR397">
        <f>(((((ET397*3))*BB397-((EU397*3))*BS397)+AE397*BS397)*AV397)</f>
        <v>0</v>
      </c>
      <c r="CS397">
        <f t="shared" si="357"/>
        <v>0</v>
      </c>
      <c r="CT397">
        <f t="shared" si="358"/>
        <v>63.66</v>
      </c>
      <c r="CU397">
        <f t="shared" si="359"/>
        <v>0</v>
      </c>
      <c r="CV397">
        <f t="shared" si="360"/>
        <v>0.12</v>
      </c>
      <c r="CW397">
        <f t="shared" si="361"/>
        <v>0</v>
      </c>
      <c r="CX397">
        <f t="shared" si="362"/>
        <v>0</v>
      </c>
      <c r="CY397">
        <f t="shared" si="363"/>
        <v>267.37199999999996</v>
      </c>
      <c r="CZ397">
        <f t="shared" si="364"/>
        <v>38.195999999999998</v>
      </c>
      <c r="DC397" t="s">
        <v>3</v>
      </c>
      <c r="DD397" t="s">
        <v>69</v>
      </c>
      <c r="DE397" t="s">
        <v>69</v>
      </c>
      <c r="DF397" t="s">
        <v>69</v>
      </c>
      <c r="DG397" t="s">
        <v>69</v>
      </c>
      <c r="DH397" t="s">
        <v>3</v>
      </c>
      <c r="DI397" t="s">
        <v>69</v>
      </c>
      <c r="DJ397" t="s">
        <v>69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16987630</v>
      </c>
      <c r="DV397" t="s">
        <v>42</v>
      </c>
      <c r="DW397" t="s">
        <v>42</v>
      </c>
      <c r="DX397">
        <v>1</v>
      </c>
      <c r="DZ397" t="s">
        <v>3</v>
      </c>
      <c r="EA397" t="s">
        <v>3</v>
      </c>
      <c r="EB397" t="s">
        <v>3</v>
      </c>
      <c r="EC397" t="s">
        <v>3</v>
      </c>
      <c r="EE397">
        <v>1364533919</v>
      </c>
      <c r="EF397">
        <v>1</v>
      </c>
      <c r="EG397" t="s">
        <v>21</v>
      </c>
      <c r="EH397">
        <v>0</v>
      </c>
      <c r="EI397" t="s">
        <v>3</v>
      </c>
      <c r="EJ397">
        <v>4</v>
      </c>
      <c r="EK397">
        <v>0</v>
      </c>
      <c r="EL397" t="s">
        <v>22</v>
      </c>
      <c r="EM397" t="s">
        <v>23</v>
      </c>
      <c r="EO397" t="s">
        <v>3</v>
      </c>
      <c r="EQ397">
        <v>0</v>
      </c>
      <c r="ER397">
        <v>21.23</v>
      </c>
      <c r="ES397">
        <v>0.01</v>
      </c>
      <c r="ET397">
        <v>0</v>
      </c>
      <c r="EU397">
        <v>0</v>
      </c>
      <c r="EV397">
        <v>21.22</v>
      </c>
      <c r="EW397">
        <v>0.04</v>
      </c>
      <c r="EX397">
        <v>0</v>
      </c>
      <c r="EY397">
        <v>0</v>
      </c>
      <c r="FQ397">
        <v>0</v>
      </c>
      <c r="FR397">
        <f t="shared" si="365"/>
        <v>0</v>
      </c>
      <c r="FS397">
        <v>0</v>
      </c>
      <c r="FX397">
        <v>70</v>
      </c>
      <c r="FY397">
        <v>10</v>
      </c>
      <c r="GA397" t="s">
        <v>3</v>
      </c>
      <c r="GD397">
        <v>0</v>
      </c>
      <c r="GF397">
        <v>-99921512</v>
      </c>
      <c r="GG397">
        <v>2</v>
      </c>
      <c r="GH397">
        <v>1</v>
      </c>
      <c r="GI397">
        <v>-2</v>
      </c>
      <c r="GJ397">
        <v>0</v>
      </c>
      <c r="GK397">
        <f>ROUND(R397*(R12)/100,2)</f>
        <v>0</v>
      </c>
      <c r="GL397">
        <f t="shared" si="366"/>
        <v>0</v>
      </c>
      <c r="GM397">
        <f t="shared" si="367"/>
        <v>687.71</v>
      </c>
      <c r="GN397">
        <f t="shared" si="368"/>
        <v>0</v>
      </c>
      <c r="GO397">
        <f t="shared" si="369"/>
        <v>0</v>
      </c>
      <c r="GP397">
        <f t="shared" si="370"/>
        <v>687.71</v>
      </c>
      <c r="GR397">
        <v>0</v>
      </c>
      <c r="GS397">
        <v>3</v>
      </c>
      <c r="GT397">
        <v>0</v>
      </c>
      <c r="GU397" t="s">
        <v>3</v>
      </c>
      <c r="GV397">
        <f t="shared" si="371"/>
        <v>0</v>
      </c>
      <c r="GW397">
        <v>1</v>
      </c>
      <c r="GX397">
        <f t="shared" si="372"/>
        <v>0</v>
      </c>
      <c r="HA397">
        <v>0</v>
      </c>
      <c r="HB397">
        <v>0</v>
      </c>
      <c r="HC397">
        <f t="shared" si="373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D398">
        <f>ROW(EtalonRes!A223)</f>
        <v>223</v>
      </c>
      <c r="E398" t="s">
        <v>138</v>
      </c>
      <c r="F398" t="s">
        <v>366</v>
      </c>
      <c r="G398" t="s">
        <v>367</v>
      </c>
      <c r="H398" t="s">
        <v>42</v>
      </c>
      <c r="I398">
        <v>6</v>
      </c>
      <c r="J398">
        <v>0</v>
      </c>
      <c r="K398">
        <v>6</v>
      </c>
      <c r="O398">
        <f t="shared" si="341"/>
        <v>3828.6</v>
      </c>
      <c r="P398">
        <f t="shared" si="342"/>
        <v>9.36</v>
      </c>
      <c r="Q398">
        <f t="shared" si="343"/>
        <v>0</v>
      </c>
      <c r="R398">
        <f t="shared" si="344"/>
        <v>0</v>
      </c>
      <c r="S398">
        <f t="shared" si="345"/>
        <v>3819.24</v>
      </c>
      <c r="T398">
        <f t="shared" si="346"/>
        <v>0</v>
      </c>
      <c r="U398">
        <f t="shared" si="347"/>
        <v>7.1999999999999993</v>
      </c>
      <c r="V398">
        <f t="shared" si="348"/>
        <v>0</v>
      </c>
      <c r="W398">
        <f t="shared" si="349"/>
        <v>0</v>
      </c>
      <c r="X398">
        <f t="shared" si="350"/>
        <v>2673.47</v>
      </c>
      <c r="Y398">
        <f t="shared" si="351"/>
        <v>381.92</v>
      </c>
      <c r="AA398">
        <v>1407491423</v>
      </c>
      <c r="AB398">
        <f t="shared" si="352"/>
        <v>638.1</v>
      </c>
      <c r="AC398">
        <f>ROUND((ES398),6)</f>
        <v>1.56</v>
      </c>
      <c r="AD398">
        <f>ROUND((((ET398)-(EU398))+AE398),6)</f>
        <v>0</v>
      </c>
      <c r="AE398">
        <f>ROUND((EU398),6)</f>
        <v>0</v>
      </c>
      <c r="AF398">
        <f>ROUND((EV398),6)</f>
        <v>636.54</v>
      </c>
      <c r="AG398">
        <f t="shared" si="353"/>
        <v>0</v>
      </c>
      <c r="AH398">
        <f>(EW398)</f>
        <v>1.2</v>
      </c>
      <c r="AI398">
        <f>(EX398)</f>
        <v>0</v>
      </c>
      <c r="AJ398">
        <f t="shared" si="354"/>
        <v>0</v>
      </c>
      <c r="AK398">
        <v>638.1</v>
      </c>
      <c r="AL398">
        <v>1.56</v>
      </c>
      <c r="AM398">
        <v>0</v>
      </c>
      <c r="AN398">
        <v>0</v>
      </c>
      <c r="AO398">
        <v>636.54</v>
      </c>
      <c r="AP398">
        <v>0</v>
      </c>
      <c r="AQ398">
        <v>1.2</v>
      </c>
      <c r="AR398">
        <v>0</v>
      </c>
      <c r="AS398">
        <v>0</v>
      </c>
      <c r="AT398">
        <v>70</v>
      </c>
      <c r="AU398">
        <v>10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1</v>
      </c>
      <c r="BD398" t="s">
        <v>3</v>
      </c>
      <c r="BE398" t="s">
        <v>3</v>
      </c>
      <c r="BF398" t="s">
        <v>3</v>
      </c>
      <c r="BG398" t="s">
        <v>3</v>
      </c>
      <c r="BH398">
        <v>0</v>
      </c>
      <c r="BI398">
        <v>4</v>
      </c>
      <c r="BJ398" t="s">
        <v>368</v>
      </c>
      <c r="BM398">
        <v>0</v>
      </c>
      <c r="BN398">
        <v>0</v>
      </c>
      <c r="BO398" t="s">
        <v>3</v>
      </c>
      <c r="BP398">
        <v>0</v>
      </c>
      <c r="BQ398">
        <v>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70</v>
      </c>
      <c r="CA398">
        <v>10</v>
      </c>
      <c r="CB398" t="s">
        <v>3</v>
      </c>
      <c r="CE398">
        <v>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355"/>
        <v>3828.6</v>
      </c>
      <c r="CQ398">
        <f t="shared" si="356"/>
        <v>1.56</v>
      </c>
      <c r="CR398">
        <f>((((ET398)*BB398-(EU398)*BS398)+AE398*BS398)*AV398)</f>
        <v>0</v>
      </c>
      <c r="CS398">
        <f t="shared" si="357"/>
        <v>0</v>
      </c>
      <c r="CT398">
        <f t="shared" si="358"/>
        <v>636.54</v>
      </c>
      <c r="CU398">
        <f t="shared" si="359"/>
        <v>0</v>
      </c>
      <c r="CV398">
        <f t="shared" si="360"/>
        <v>1.2</v>
      </c>
      <c r="CW398">
        <f t="shared" si="361"/>
        <v>0</v>
      </c>
      <c r="CX398">
        <f t="shared" si="362"/>
        <v>0</v>
      </c>
      <c r="CY398">
        <f t="shared" si="363"/>
        <v>2673.4679999999998</v>
      </c>
      <c r="CZ398">
        <f t="shared" si="364"/>
        <v>381.92399999999992</v>
      </c>
      <c r="DC398" t="s">
        <v>3</v>
      </c>
      <c r="DD398" t="s">
        <v>3</v>
      </c>
      <c r="DE398" t="s">
        <v>3</v>
      </c>
      <c r="DF398" t="s">
        <v>3</v>
      </c>
      <c r="DG398" t="s">
        <v>3</v>
      </c>
      <c r="DH398" t="s">
        <v>3</v>
      </c>
      <c r="DI398" t="s">
        <v>3</v>
      </c>
      <c r="DJ398" t="s">
        <v>3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16987630</v>
      </c>
      <c r="DV398" t="s">
        <v>42</v>
      </c>
      <c r="DW398" t="s">
        <v>42</v>
      </c>
      <c r="DX398">
        <v>1</v>
      </c>
      <c r="DZ398" t="s">
        <v>3</v>
      </c>
      <c r="EA398" t="s">
        <v>3</v>
      </c>
      <c r="EB398" t="s">
        <v>3</v>
      </c>
      <c r="EC398" t="s">
        <v>3</v>
      </c>
      <c r="EE398">
        <v>1364533919</v>
      </c>
      <c r="EF398">
        <v>1</v>
      </c>
      <c r="EG398" t="s">
        <v>21</v>
      </c>
      <c r="EH398">
        <v>0</v>
      </c>
      <c r="EI398" t="s">
        <v>3</v>
      </c>
      <c r="EJ398">
        <v>4</v>
      </c>
      <c r="EK398">
        <v>0</v>
      </c>
      <c r="EL398" t="s">
        <v>22</v>
      </c>
      <c r="EM398" t="s">
        <v>23</v>
      </c>
      <c r="EO398" t="s">
        <v>3</v>
      </c>
      <c r="EQ398">
        <v>0</v>
      </c>
      <c r="ER398">
        <v>638.1</v>
      </c>
      <c r="ES398">
        <v>1.56</v>
      </c>
      <c r="ET398">
        <v>0</v>
      </c>
      <c r="EU398">
        <v>0</v>
      </c>
      <c r="EV398">
        <v>636.54</v>
      </c>
      <c r="EW398">
        <v>1.2</v>
      </c>
      <c r="EX398">
        <v>0</v>
      </c>
      <c r="EY398">
        <v>0</v>
      </c>
      <c r="FQ398">
        <v>0</v>
      </c>
      <c r="FR398">
        <f t="shared" si="365"/>
        <v>0</v>
      </c>
      <c r="FS398">
        <v>0</v>
      </c>
      <c r="FX398">
        <v>70</v>
      </c>
      <c r="FY398">
        <v>10</v>
      </c>
      <c r="GA398" t="s">
        <v>3</v>
      </c>
      <c r="GD398">
        <v>0</v>
      </c>
      <c r="GF398">
        <v>314202202</v>
      </c>
      <c r="GG398">
        <v>2</v>
      </c>
      <c r="GH398">
        <v>1</v>
      </c>
      <c r="GI398">
        <v>-2</v>
      </c>
      <c r="GJ398">
        <v>0</v>
      </c>
      <c r="GK398">
        <f>ROUND(R398*(R12)/100,2)</f>
        <v>0</v>
      </c>
      <c r="GL398">
        <f t="shared" si="366"/>
        <v>0</v>
      </c>
      <c r="GM398">
        <f t="shared" si="367"/>
        <v>6883.99</v>
      </c>
      <c r="GN398">
        <f t="shared" si="368"/>
        <v>0</v>
      </c>
      <c r="GO398">
        <f t="shared" si="369"/>
        <v>0</v>
      </c>
      <c r="GP398">
        <f t="shared" si="370"/>
        <v>6883.99</v>
      </c>
      <c r="GR398">
        <v>0</v>
      </c>
      <c r="GS398">
        <v>3</v>
      </c>
      <c r="GT398">
        <v>0</v>
      </c>
      <c r="GU398" t="s">
        <v>3</v>
      </c>
      <c r="GV398">
        <f t="shared" si="371"/>
        <v>0</v>
      </c>
      <c r="GW398">
        <v>1</v>
      </c>
      <c r="GX398">
        <f t="shared" si="372"/>
        <v>0</v>
      </c>
      <c r="HA398">
        <v>0</v>
      </c>
      <c r="HB398">
        <v>0</v>
      </c>
      <c r="HC398">
        <f t="shared" si="373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D399">
        <f>ROW(EtalonRes!A224)</f>
        <v>224</v>
      </c>
      <c r="E399" t="s">
        <v>145</v>
      </c>
      <c r="F399" t="s">
        <v>369</v>
      </c>
      <c r="G399" t="s">
        <v>370</v>
      </c>
      <c r="H399" t="s">
        <v>37</v>
      </c>
      <c r="I399">
        <f>ROUND(6/10,9)</f>
        <v>0.6</v>
      </c>
      <c r="J399">
        <v>0</v>
      </c>
      <c r="K399">
        <f>ROUND(6/10,9)</f>
        <v>0.6</v>
      </c>
      <c r="O399">
        <f t="shared" si="341"/>
        <v>616.66999999999996</v>
      </c>
      <c r="P399">
        <f t="shared" si="342"/>
        <v>0</v>
      </c>
      <c r="Q399">
        <f t="shared" si="343"/>
        <v>0</v>
      </c>
      <c r="R399">
        <f t="shared" si="344"/>
        <v>0</v>
      </c>
      <c r="S399">
        <f t="shared" si="345"/>
        <v>616.66999999999996</v>
      </c>
      <c r="T399">
        <f t="shared" si="346"/>
        <v>0</v>
      </c>
      <c r="U399">
        <f t="shared" si="347"/>
        <v>1.4159999999999999</v>
      </c>
      <c r="V399">
        <f t="shared" si="348"/>
        <v>0</v>
      </c>
      <c r="W399">
        <f t="shared" si="349"/>
        <v>0</v>
      </c>
      <c r="X399">
        <f t="shared" si="350"/>
        <v>431.67</v>
      </c>
      <c r="Y399">
        <f t="shared" si="351"/>
        <v>61.67</v>
      </c>
      <c r="AA399">
        <v>1407491423</v>
      </c>
      <c r="AB399">
        <f t="shared" si="352"/>
        <v>1027.78</v>
      </c>
      <c r="AC399">
        <f>ROUND(((ES399*118)),6)</f>
        <v>0</v>
      </c>
      <c r="AD399">
        <f>ROUND(((((ET399*118))-((EU399*118)))+AE399),6)</f>
        <v>0</v>
      </c>
      <c r="AE399">
        <f>ROUND(((EU399*118)),6)</f>
        <v>0</v>
      </c>
      <c r="AF399">
        <f>ROUND(((EV399*118)),6)</f>
        <v>1027.78</v>
      </c>
      <c r="AG399">
        <f t="shared" si="353"/>
        <v>0</v>
      </c>
      <c r="AH399">
        <f>((EW399*118))</f>
        <v>2.36</v>
      </c>
      <c r="AI399">
        <f>((EX399*118))</f>
        <v>0</v>
      </c>
      <c r="AJ399">
        <f t="shared" si="354"/>
        <v>0</v>
      </c>
      <c r="AK399">
        <v>8.7100000000000009</v>
      </c>
      <c r="AL399">
        <v>0</v>
      </c>
      <c r="AM399">
        <v>0</v>
      </c>
      <c r="AN399">
        <v>0</v>
      </c>
      <c r="AO399">
        <v>8.7100000000000009</v>
      </c>
      <c r="AP399">
        <v>0</v>
      </c>
      <c r="AQ399">
        <v>0.02</v>
      </c>
      <c r="AR399">
        <v>0</v>
      </c>
      <c r="AS399">
        <v>0</v>
      </c>
      <c r="AT399">
        <v>70</v>
      </c>
      <c r="AU399">
        <v>10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</v>
      </c>
      <c r="BD399" t="s">
        <v>3</v>
      </c>
      <c r="BE399" t="s">
        <v>3</v>
      </c>
      <c r="BF399" t="s">
        <v>3</v>
      </c>
      <c r="BG399" t="s">
        <v>3</v>
      </c>
      <c r="BH399">
        <v>0</v>
      </c>
      <c r="BI399">
        <v>4</v>
      </c>
      <c r="BJ399" t="s">
        <v>371</v>
      </c>
      <c r="BM399">
        <v>0</v>
      </c>
      <c r="BN399">
        <v>0</v>
      </c>
      <c r="BO399" t="s">
        <v>3</v>
      </c>
      <c r="BP399">
        <v>0</v>
      </c>
      <c r="BQ399">
        <v>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70</v>
      </c>
      <c r="CA399">
        <v>10</v>
      </c>
      <c r="CB399" t="s">
        <v>3</v>
      </c>
      <c r="CE399">
        <v>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355"/>
        <v>616.66999999999996</v>
      </c>
      <c r="CQ399">
        <f t="shared" si="356"/>
        <v>0</v>
      </c>
      <c r="CR399">
        <f>(((((ET399*118))*BB399-((EU399*118))*BS399)+AE399*BS399)*AV399)</f>
        <v>0</v>
      </c>
      <c r="CS399">
        <f t="shared" si="357"/>
        <v>0</v>
      </c>
      <c r="CT399">
        <f t="shared" si="358"/>
        <v>1027.78</v>
      </c>
      <c r="CU399">
        <f t="shared" si="359"/>
        <v>0</v>
      </c>
      <c r="CV399">
        <f t="shared" si="360"/>
        <v>2.36</v>
      </c>
      <c r="CW399">
        <f t="shared" si="361"/>
        <v>0</v>
      </c>
      <c r="CX399">
        <f t="shared" si="362"/>
        <v>0</v>
      </c>
      <c r="CY399">
        <f t="shared" si="363"/>
        <v>431.66899999999993</v>
      </c>
      <c r="CZ399">
        <f t="shared" si="364"/>
        <v>61.667000000000002</v>
      </c>
      <c r="DC399" t="s">
        <v>3</v>
      </c>
      <c r="DD399" t="s">
        <v>201</v>
      </c>
      <c r="DE399" t="s">
        <v>201</v>
      </c>
      <c r="DF399" t="s">
        <v>201</v>
      </c>
      <c r="DG399" t="s">
        <v>201</v>
      </c>
      <c r="DH399" t="s">
        <v>3</v>
      </c>
      <c r="DI399" t="s">
        <v>201</v>
      </c>
      <c r="DJ399" t="s">
        <v>201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16987630</v>
      </c>
      <c r="DV399" t="s">
        <v>37</v>
      </c>
      <c r="DW399" t="s">
        <v>37</v>
      </c>
      <c r="DX399">
        <v>10</v>
      </c>
      <c r="DZ399" t="s">
        <v>3</v>
      </c>
      <c r="EA399" t="s">
        <v>3</v>
      </c>
      <c r="EB399" t="s">
        <v>3</v>
      </c>
      <c r="EC399" t="s">
        <v>3</v>
      </c>
      <c r="EE399">
        <v>1364533919</v>
      </c>
      <c r="EF399">
        <v>1</v>
      </c>
      <c r="EG399" t="s">
        <v>21</v>
      </c>
      <c r="EH399">
        <v>0</v>
      </c>
      <c r="EI399" t="s">
        <v>3</v>
      </c>
      <c r="EJ399">
        <v>4</v>
      </c>
      <c r="EK399">
        <v>0</v>
      </c>
      <c r="EL399" t="s">
        <v>22</v>
      </c>
      <c r="EM399" t="s">
        <v>23</v>
      </c>
      <c r="EO399" t="s">
        <v>3</v>
      </c>
      <c r="EQ399">
        <v>0</v>
      </c>
      <c r="ER399">
        <v>8.7100000000000009</v>
      </c>
      <c r="ES399">
        <v>0</v>
      </c>
      <c r="ET399">
        <v>0</v>
      </c>
      <c r="EU399">
        <v>0</v>
      </c>
      <c r="EV399">
        <v>8.7100000000000009</v>
      </c>
      <c r="EW399">
        <v>0.02</v>
      </c>
      <c r="EX399">
        <v>0</v>
      </c>
      <c r="EY399">
        <v>0</v>
      </c>
      <c r="FQ399">
        <v>0</v>
      </c>
      <c r="FR399">
        <f t="shared" si="365"/>
        <v>0</v>
      </c>
      <c r="FS399">
        <v>0</v>
      </c>
      <c r="FX399">
        <v>70</v>
      </c>
      <c r="FY399">
        <v>10</v>
      </c>
      <c r="GA399" t="s">
        <v>3</v>
      </c>
      <c r="GD399">
        <v>0</v>
      </c>
      <c r="GF399">
        <v>662178691</v>
      </c>
      <c r="GG399">
        <v>2</v>
      </c>
      <c r="GH399">
        <v>1</v>
      </c>
      <c r="GI399">
        <v>-2</v>
      </c>
      <c r="GJ399">
        <v>0</v>
      </c>
      <c r="GK399">
        <f>ROUND(R399*(R12)/100,2)</f>
        <v>0</v>
      </c>
      <c r="GL399">
        <f t="shared" si="366"/>
        <v>0</v>
      </c>
      <c r="GM399">
        <f t="shared" si="367"/>
        <v>1110.01</v>
      </c>
      <c r="GN399">
        <f t="shared" si="368"/>
        <v>0</v>
      </c>
      <c r="GO399">
        <f t="shared" si="369"/>
        <v>0</v>
      </c>
      <c r="GP399">
        <f t="shared" si="370"/>
        <v>1110.01</v>
      </c>
      <c r="GR399">
        <v>0</v>
      </c>
      <c r="GS399">
        <v>3</v>
      </c>
      <c r="GT399">
        <v>0</v>
      </c>
      <c r="GU399" t="s">
        <v>3</v>
      </c>
      <c r="GV399">
        <f t="shared" si="371"/>
        <v>0</v>
      </c>
      <c r="GW399">
        <v>1</v>
      </c>
      <c r="GX399">
        <f t="shared" si="372"/>
        <v>0</v>
      </c>
      <c r="HA399">
        <v>0</v>
      </c>
      <c r="HB399">
        <v>0</v>
      </c>
      <c r="HC399">
        <f t="shared" si="373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1</v>
      </c>
      <c r="D400">
        <f>ROW(EtalonRes!A227)</f>
        <v>227</v>
      </c>
      <c r="E400" t="s">
        <v>146</v>
      </c>
      <c r="F400" t="s">
        <v>372</v>
      </c>
      <c r="G400" t="s">
        <v>373</v>
      </c>
      <c r="H400" t="s">
        <v>37</v>
      </c>
      <c r="I400">
        <f>ROUND(6/10,9)</f>
        <v>0.6</v>
      </c>
      <c r="J400">
        <v>0</v>
      </c>
      <c r="K400">
        <f>ROUND(6/10,9)</f>
        <v>0.6</v>
      </c>
      <c r="O400">
        <f t="shared" si="341"/>
        <v>129.79</v>
      </c>
      <c r="P400">
        <f t="shared" si="342"/>
        <v>2.2999999999999998</v>
      </c>
      <c r="Q400">
        <f t="shared" si="343"/>
        <v>0</v>
      </c>
      <c r="R400">
        <f t="shared" si="344"/>
        <v>0</v>
      </c>
      <c r="S400">
        <f t="shared" si="345"/>
        <v>127.49</v>
      </c>
      <c r="T400">
        <f t="shared" si="346"/>
        <v>0</v>
      </c>
      <c r="U400">
        <f t="shared" si="347"/>
        <v>0.26400000000000001</v>
      </c>
      <c r="V400">
        <f t="shared" si="348"/>
        <v>0</v>
      </c>
      <c r="W400">
        <f t="shared" si="349"/>
        <v>0</v>
      </c>
      <c r="X400">
        <f t="shared" si="350"/>
        <v>89.24</v>
      </c>
      <c r="Y400">
        <f t="shared" si="351"/>
        <v>12.75</v>
      </c>
      <c r="AA400">
        <v>1407491423</v>
      </c>
      <c r="AB400">
        <f t="shared" si="352"/>
        <v>216.33</v>
      </c>
      <c r="AC400">
        <f>ROUND((ES400),6)</f>
        <v>3.84</v>
      </c>
      <c r="AD400">
        <f>ROUND((((ET400)-(EU400))+AE400),6)</f>
        <v>0</v>
      </c>
      <c r="AE400">
        <f>ROUND((EU400),6)</f>
        <v>0</v>
      </c>
      <c r="AF400">
        <f>ROUND((EV400),6)</f>
        <v>212.49</v>
      </c>
      <c r="AG400">
        <f t="shared" si="353"/>
        <v>0</v>
      </c>
      <c r="AH400">
        <f>(EW400)</f>
        <v>0.44</v>
      </c>
      <c r="AI400">
        <f>(EX400)</f>
        <v>0</v>
      </c>
      <c r="AJ400">
        <f t="shared" si="354"/>
        <v>0</v>
      </c>
      <c r="AK400">
        <v>216.33</v>
      </c>
      <c r="AL400">
        <v>3.84</v>
      </c>
      <c r="AM400">
        <v>0</v>
      </c>
      <c r="AN400">
        <v>0</v>
      </c>
      <c r="AO400">
        <v>212.49</v>
      </c>
      <c r="AP400">
        <v>0</v>
      </c>
      <c r="AQ400">
        <v>0.44</v>
      </c>
      <c r="AR400">
        <v>0</v>
      </c>
      <c r="AS400">
        <v>0</v>
      </c>
      <c r="AT400">
        <v>70</v>
      </c>
      <c r="AU400">
        <v>10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</v>
      </c>
      <c r="BD400" t="s">
        <v>3</v>
      </c>
      <c r="BE400" t="s">
        <v>3</v>
      </c>
      <c r="BF400" t="s">
        <v>3</v>
      </c>
      <c r="BG400" t="s">
        <v>3</v>
      </c>
      <c r="BH400">
        <v>0</v>
      </c>
      <c r="BI400">
        <v>4</v>
      </c>
      <c r="BJ400" t="s">
        <v>374</v>
      </c>
      <c r="BM400">
        <v>0</v>
      </c>
      <c r="BN400">
        <v>0</v>
      </c>
      <c r="BO400" t="s">
        <v>3</v>
      </c>
      <c r="BP400">
        <v>0</v>
      </c>
      <c r="BQ400">
        <v>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70</v>
      </c>
      <c r="CA400">
        <v>10</v>
      </c>
      <c r="CB400" t="s">
        <v>3</v>
      </c>
      <c r="CE400">
        <v>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355"/>
        <v>129.79</v>
      </c>
      <c r="CQ400">
        <f t="shared" si="356"/>
        <v>3.84</v>
      </c>
      <c r="CR400">
        <f>((((ET400)*BB400-(EU400)*BS400)+AE400*BS400)*AV400)</f>
        <v>0</v>
      </c>
      <c r="CS400">
        <f t="shared" si="357"/>
        <v>0</v>
      </c>
      <c r="CT400">
        <f t="shared" si="358"/>
        <v>212.49</v>
      </c>
      <c r="CU400">
        <f t="shared" si="359"/>
        <v>0</v>
      </c>
      <c r="CV400">
        <f t="shared" si="360"/>
        <v>0.44</v>
      </c>
      <c r="CW400">
        <f t="shared" si="361"/>
        <v>0</v>
      </c>
      <c r="CX400">
        <f t="shared" si="362"/>
        <v>0</v>
      </c>
      <c r="CY400">
        <f t="shared" si="363"/>
        <v>89.242999999999995</v>
      </c>
      <c r="CZ400">
        <f t="shared" si="364"/>
        <v>12.748999999999999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16987630</v>
      </c>
      <c r="DV400" t="s">
        <v>37</v>
      </c>
      <c r="DW400" t="s">
        <v>37</v>
      </c>
      <c r="DX400">
        <v>10</v>
      </c>
      <c r="DZ400" t="s">
        <v>3</v>
      </c>
      <c r="EA400" t="s">
        <v>3</v>
      </c>
      <c r="EB400" t="s">
        <v>3</v>
      </c>
      <c r="EC400" t="s">
        <v>3</v>
      </c>
      <c r="EE400">
        <v>1364533919</v>
      </c>
      <c r="EF400">
        <v>1</v>
      </c>
      <c r="EG400" t="s">
        <v>21</v>
      </c>
      <c r="EH400">
        <v>0</v>
      </c>
      <c r="EI400" t="s">
        <v>3</v>
      </c>
      <c r="EJ400">
        <v>4</v>
      </c>
      <c r="EK400">
        <v>0</v>
      </c>
      <c r="EL400" t="s">
        <v>22</v>
      </c>
      <c r="EM400" t="s">
        <v>23</v>
      </c>
      <c r="EO400" t="s">
        <v>3</v>
      </c>
      <c r="EQ400">
        <v>0</v>
      </c>
      <c r="ER400">
        <v>216.33</v>
      </c>
      <c r="ES400">
        <v>3.84</v>
      </c>
      <c r="ET400">
        <v>0</v>
      </c>
      <c r="EU400">
        <v>0</v>
      </c>
      <c r="EV400">
        <v>212.49</v>
      </c>
      <c r="EW400">
        <v>0.44</v>
      </c>
      <c r="EX400">
        <v>0</v>
      </c>
      <c r="EY400">
        <v>0</v>
      </c>
      <c r="FQ400">
        <v>0</v>
      </c>
      <c r="FR400">
        <f t="shared" si="365"/>
        <v>0</v>
      </c>
      <c r="FS400">
        <v>0</v>
      </c>
      <c r="FX400">
        <v>70</v>
      </c>
      <c r="FY400">
        <v>10</v>
      </c>
      <c r="GA400" t="s">
        <v>3</v>
      </c>
      <c r="GD400">
        <v>0</v>
      </c>
      <c r="GF400">
        <v>-73678882</v>
      </c>
      <c r="GG400">
        <v>2</v>
      </c>
      <c r="GH400">
        <v>1</v>
      </c>
      <c r="GI400">
        <v>-2</v>
      </c>
      <c r="GJ400">
        <v>0</v>
      </c>
      <c r="GK400">
        <f>ROUND(R400*(R12)/100,2)</f>
        <v>0</v>
      </c>
      <c r="GL400">
        <f t="shared" si="366"/>
        <v>0</v>
      </c>
      <c r="GM400">
        <f t="shared" si="367"/>
        <v>231.78</v>
      </c>
      <c r="GN400">
        <f t="shared" si="368"/>
        <v>0</v>
      </c>
      <c r="GO400">
        <f t="shared" si="369"/>
        <v>0</v>
      </c>
      <c r="GP400">
        <f t="shared" si="370"/>
        <v>231.78</v>
      </c>
      <c r="GR400">
        <v>0</v>
      </c>
      <c r="GS400">
        <v>3</v>
      </c>
      <c r="GT400">
        <v>0</v>
      </c>
      <c r="GU400" t="s">
        <v>3</v>
      </c>
      <c r="GV400">
        <f t="shared" si="371"/>
        <v>0</v>
      </c>
      <c r="GW400">
        <v>1</v>
      </c>
      <c r="GX400">
        <f t="shared" si="372"/>
        <v>0</v>
      </c>
      <c r="HA400">
        <v>0</v>
      </c>
      <c r="HB400">
        <v>0</v>
      </c>
      <c r="HC400">
        <f t="shared" si="373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D401">
        <f>ROW(EtalonRes!A230)</f>
        <v>230</v>
      </c>
      <c r="E401" t="s">
        <v>152</v>
      </c>
      <c r="F401" t="s">
        <v>375</v>
      </c>
      <c r="G401" t="s">
        <v>376</v>
      </c>
      <c r="H401" t="s">
        <v>42</v>
      </c>
      <c r="I401">
        <v>12</v>
      </c>
      <c r="J401">
        <v>0</v>
      </c>
      <c r="K401">
        <v>12</v>
      </c>
      <c r="O401">
        <f t="shared" si="341"/>
        <v>7657.44</v>
      </c>
      <c r="P401">
        <f t="shared" si="342"/>
        <v>18.96</v>
      </c>
      <c r="Q401">
        <f t="shared" si="343"/>
        <v>0</v>
      </c>
      <c r="R401">
        <f t="shared" si="344"/>
        <v>0</v>
      </c>
      <c r="S401">
        <f t="shared" si="345"/>
        <v>7638.48</v>
      </c>
      <c r="T401">
        <f t="shared" si="346"/>
        <v>0</v>
      </c>
      <c r="U401">
        <f t="shared" si="347"/>
        <v>14.399999999999999</v>
      </c>
      <c r="V401">
        <f t="shared" si="348"/>
        <v>0</v>
      </c>
      <c r="W401">
        <f t="shared" si="349"/>
        <v>0</v>
      </c>
      <c r="X401">
        <f t="shared" si="350"/>
        <v>5346.94</v>
      </c>
      <c r="Y401">
        <f t="shared" si="351"/>
        <v>763.85</v>
      </c>
      <c r="AA401">
        <v>1407491423</v>
      </c>
      <c r="AB401">
        <f t="shared" si="352"/>
        <v>638.12</v>
      </c>
      <c r="AC401">
        <f>ROUND(((ES401*2)),6)</f>
        <v>1.58</v>
      </c>
      <c r="AD401">
        <f>ROUND(((((ET401*2))-((EU401*2)))+AE401),6)</f>
        <v>0</v>
      </c>
      <c r="AE401">
        <f>ROUND(((EU401*2)),6)</f>
        <v>0</v>
      </c>
      <c r="AF401">
        <f>ROUND(((EV401*2)),6)</f>
        <v>636.54</v>
      </c>
      <c r="AG401">
        <f t="shared" si="353"/>
        <v>0</v>
      </c>
      <c r="AH401">
        <f>((EW401*2))</f>
        <v>1.2</v>
      </c>
      <c r="AI401">
        <f>((EX401*2))</f>
        <v>0</v>
      </c>
      <c r="AJ401">
        <f t="shared" si="354"/>
        <v>0</v>
      </c>
      <c r="AK401">
        <v>319.06</v>
      </c>
      <c r="AL401">
        <v>0.79</v>
      </c>
      <c r="AM401">
        <v>0</v>
      </c>
      <c r="AN401">
        <v>0</v>
      </c>
      <c r="AO401">
        <v>318.27</v>
      </c>
      <c r="AP401">
        <v>0</v>
      </c>
      <c r="AQ401">
        <v>0.6</v>
      </c>
      <c r="AR401">
        <v>0</v>
      </c>
      <c r="AS401">
        <v>0</v>
      </c>
      <c r="AT401">
        <v>70</v>
      </c>
      <c r="AU401">
        <v>10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</v>
      </c>
      <c r="BD401" t="s">
        <v>3</v>
      </c>
      <c r="BE401" t="s">
        <v>3</v>
      </c>
      <c r="BF401" t="s">
        <v>3</v>
      </c>
      <c r="BG401" t="s">
        <v>3</v>
      </c>
      <c r="BH401">
        <v>0</v>
      </c>
      <c r="BI401">
        <v>4</v>
      </c>
      <c r="BJ401" t="s">
        <v>377</v>
      </c>
      <c r="BM401">
        <v>0</v>
      </c>
      <c r="BN401">
        <v>0</v>
      </c>
      <c r="BO401" t="s">
        <v>3</v>
      </c>
      <c r="BP401">
        <v>0</v>
      </c>
      <c r="BQ401">
        <v>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70</v>
      </c>
      <c r="CA401">
        <v>10</v>
      </c>
      <c r="CB401" t="s">
        <v>3</v>
      </c>
      <c r="CE401">
        <v>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355"/>
        <v>7657.44</v>
      </c>
      <c r="CQ401">
        <f t="shared" si="356"/>
        <v>1.58</v>
      </c>
      <c r="CR401">
        <f>(((((ET401*2))*BB401-((EU401*2))*BS401)+AE401*BS401)*AV401)</f>
        <v>0</v>
      </c>
      <c r="CS401">
        <f t="shared" si="357"/>
        <v>0</v>
      </c>
      <c r="CT401">
        <f t="shared" si="358"/>
        <v>636.54</v>
      </c>
      <c r="CU401">
        <f t="shared" si="359"/>
        <v>0</v>
      </c>
      <c r="CV401">
        <f t="shared" si="360"/>
        <v>1.2</v>
      </c>
      <c r="CW401">
        <f t="shared" si="361"/>
        <v>0</v>
      </c>
      <c r="CX401">
        <f t="shared" si="362"/>
        <v>0</v>
      </c>
      <c r="CY401">
        <f t="shared" si="363"/>
        <v>5346.9359999999997</v>
      </c>
      <c r="CZ401">
        <f t="shared" si="364"/>
        <v>763.84799999999984</v>
      </c>
      <c r="DC401" t="s">
        <v>3</v>
      </c>
      <c r="DD401" t="s">
        <v>52</v>
      </c>
      <c r="DE401" t="s">
        <v>52</v>
      </c>
      <c r="DF401" t="s">
        <v>52</v>
      </c>
      <c r="DG401" t="s">
        <v>52</v>
      </c>
      <c r="DH401" t="s">
        <v>3</v>
      </c>
      <c r="DI401" t="s">
        <v>52</v>
      </c>
      <c r="DJ401" t="s">
        <v>52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16987630</v>
      </c>
      <c r="DV401" t="s">
        <v>42</v>
      </c>
      <c r="DW401" t="s">
        <v>42</v>
      </c>
      <c r="DX401">
        <v>1</v>
      </c>
      <c r="DZ401" t="s">
        <v>3</v>
      </c>
      <c r="EA401" t="s">
        <v>3</v>
      </c>
      <c r="EB401" t="s">
        <v>3</v>
      </c>
      <c r="EC401" t="s">
        <v>3</v>
      </c>
      <c r="EE401">
        <v>1364533919</v>
      </c>
      <c r="EF401">
        <v>1</v>
      </c>
      <c r="EG401" t="s">
        <v>21</v>
      </c>
      <c r="EH401">
        <v>0</v>
      </c>
      <c r="EI401" t="s">
        <v>3</v>
      </c>
      <c r="EJ401">
        <v>4</v>
      </c>
      <c r="EK401">
        <v>0</v>
      </c>
      <c r="EL401" t="s">
        <v>22</v>
      </c>
      <c r="EM401" t="s">
        <v>23</v>
      </c>
      <c r="EO401" t="s">
        <v>3</v>
      </c>
      <c r="EQ401">
        <v>0</v>
      </c>
      <c r="ER401">
        <v>319.06</v>
      </c>
      <c r="ES401">
        <v>0.79</v>
      </c>
      <c r="ET401">
        <v>0</v>
      </c>
      <c r="EU401">
        <v>0</v>
      </c>
      <c r="EV401">
        <v>318.27</v>
      </c>
      <c r="EW401">
        <v>0.6</v>
      </c>
      <c r="EX401">
        <v>0</v>
      </c>
      <c r="EY401">
        <v>0</v>
      </c>
      <c r="FQ401">
        <v>0</v>
      </c>
      <c r="FR401">
        <f t="shared" si="365"/>
        <v>0</v>
      </c>
      <c r="FS401">
        <v>0</v>
      </c>
      <c r="FX401">
        <v>70</v>
      </c>
      <c r="FY401">
        <v>10</v>
      </c>
      <c r="GA401" t="s">
        <v>3</v>
      </c>
      <c r="GD401">
        <v>0</v>
      </c>
      <c r="GF401">
        <v>-807154307</v>
      </c>
      <c r="GG401">
        <v>2</v>
      </c>
      <c r="GH401">
        <v>1</v>
      </c>
      <c r="GI401">
        <v>-2</v>
      </c>
      <c r="GJ401">
        <v>0</v>
      </c>
      <c r="GK401">
        <f>ROUND(R401*(R12)/100,2)</f>
        <v>0</v>
      </c>
      <c r="GL401">
        <f t="shared" si="366"/>
        <v>0</v>
      </c>
      <c r="GM401">
        <f t="shared" si="367"/>
        <v>13768.23</v>
      </c>
      <c r="GN401">
        <f t="shared" si="368"/>
        <v>0</v>
      </c>
      <c r="GO401">
        <f t="shared" si="369"/>
        <v>0</v>
      </c>
      <c r="GP401">
        <f t="shared" si="370"/>
        <v>13768.23</v>
      </c>
      <c r="GR401">
        <v>0</v>
      </c>
      <c r="GS401">
        <v>3</v>
      </c>
      <c r="GT401">
        <v>0</v>
      </c>
      <c r="GU401" t="s">
        <v>3</v>
      </c>
      <c r="GV401">
        <f t="shared" si="371"/>
        <v>0</v>
      </c>
      <c r="GW401">
        <v>1</v>
      </c>
      <c r="GX401">
        <f t="shared" si="372"/>
        <v>0</v>
      </c>
      <c r="HA401">
        <v>0</v>
      </c>
      <c r="HB401">
        <v>0</v>
      </c>
      <c r="HC401">
        <f t="shared" si="373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17</v>
      </c>
      <c r="B402">
        <v>1</v>
      </c>
      <c r="D402">
        <f>ROW(EtalonRes!A234)</f>
        <v>234</v>
      </c>
      <c r="E402" t="s">
        <v>157</v>
      </c>
      <c r="F402" t="s">
        <v>378</v>
      </c>
      <c r="G402" t="s">
        <v>379</v>
      </c>
      <c r="H402" t="s">
        <v>42</v>
      </c>
      <c r="I402">
        <v>2</v>
      </c>
      <c r="J402">
        <v>0</v>
      </c>
      <c r="K402">
        <v>2</v>
      </c>
      <c r="O402">
        <f t="shared" si="341"/>
        <v>828.9</v>
      </c>
      <c r="P402">
        <f t="shared" si="342"/>
        <v>8.06</v>
      </c>
      <c r="Q402">
        <f t="shared" si="343"/>
        <v>0</v>
      </c>
      <c r="R402">
        <f t="shared" si="344"/>
        <v>0</v>
      </c>
      <c r="S402">
        <f t="shared" si="345"/>
        <v>820.84</v>
      </c>
      <c r="T402">
        <f t="shared" si="346"/>
        <v>0</v>
      </c>
      <c r="U402">
        <f t="shared" si="347"/>
        <v>1.44</v>
      </c>
      <c r="V402">
        <f t="shared" si="348"/>
        <v>0</v>
      </c>
      <c r="W402">
        <f t="shared" si="349"/>
        <v>0</v>
      </c>
      <c r="X402">
        <f t="shared" si="350"/>
        <v>574.59</v>
      </c>
      <c r="Y402">
        <f t="shared" si="351"/>
        <v>82.08</v>
      </c>
      <c r="AA402">
        <v>1407491423</v>
      </c>
      <c r="AB402">
        <f t="shared" si="352"/>
        <v>414.45</v>
      </c>
      <c r="AC402">
        <f>ROUND((ES402),6)</f>
        <v>4.03</v>
      </c>
      <c r="AD402">
        <f>ROUND((((ET402)-(EU402))+AE402),6)</f>
        <v>0</v>
      </c>
      <c r="AE402">
        <f>ROUND((EU402),6)</f>
        <v>0</v>
      </c>
      <c r="AF402">
        <f>ROUND((EV402),6)</f>
        <v>410.42</v>
      </c>
      <c r="AG402">
        <f t="shared" si="353"/>
        <v>0</v>
      </c>
      <c r="AH402">
        <f>(EW402)</f>
        <v>0.72</v>
      </c>
      <c r="AI402">
        <f>(EX402)</f>
        <v>0</v>
      </c>
      <c r="AJ402">
        <f t="shared" si="354"/>
        <v>0</v>
      </c>
      <c r="AK402">
        <v>414.45</v>
      </c>
      <c r="AL402">
        <v>4.03</v>
      </c>
      <c r="AM402">
        <v>0</v>
      </c>
      <c r="AN402">
        <v>0</v>
      </c>
      <c r="AO402">
        <v>410.42</v>
      </c>
      <c r="AP402">
        <v>0</v>
      </c>
      <c r="AQ402">
        <v>0.72</v>
      </c>
      <c r="AR402">
        <v>0</v>
      </c>
      <c r="AS402">
        <v>0</v>
      </c>
      <c r="AT402">
        <v>70</v>
      </c>
      <c r="AU402">
        <v>10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1</v>
      </c>
      <c r="BD402" t="s">
        <v>3</v>
      </c>
      <c r="BE402" t="s">
        <v>3</v>
      </c>
      <c r="BF402" t="s">
        <v>3</v>
      </c>
      <c r="BG402" t="s">
        <v>3</v>
      </c>
      <c r="BH402">
        <v>0</v>
      </c>
      <c r="BI402">
        <v>4</v>
      </c>
      <c r="BJ402" t="s">
        <v>380</v>
      </c>
      <c r="BM402">
        <v>0</v>
      </c>
      <c r="BN402">
        <v>0</v>
      </c>
      <c r="BO402" t="s">
        <v>3</v>
      </c>
      <c r="BP402">
        <v>0</v>
      </c>
      <c r="BQ402">
        <v>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70</v>
      </c>
      <c r="CA402">
        <v>10</v>
      </c>
      <c r="CB402" t="s">
        <v>3</v>
      </c>
      <c r="CE402">
        <v>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355"/>
        <v>828.9</v>
      </c>
      <c r="CQ402">
        <f t="shared" si="356"/>
        <v>4.03</v>
      </c>
      <c r="CR402">
        <f>((((ET402)*BB402-(EU402)*BS402)+AE402*BS402)*AV402)</f>
        <v>0</v>
      </c>
      <c r="CS402">
        <f t="shared" si="357"/>
        <v>0</v>
      </c>
      <c r="CT402">
        <f t="shared" si="358"/>
        <v>410.42</v>
      </c>
      <c r="CU402">
        <f t="shared" si="359"/>
        <v>0</v>
      </c>
      <c r="CV402">
        <f t="shared" si="360"/>
        <v>0.72</v>
      </c>
      <c r="CW402">
        <f t="shared" si="361"/>
        <v>0</v>
      </c>
      <c r="CX402">
        <f t="shared" si="362"/>
        <v>0</v>
      </c>
      <c r="CY402">
        <f t="shared" si="363"/>
        <v>574.58800000000008</v>
      </c>
      <c r="CZ402">
        <f t="shared" si="364"/>
        <v>82.084000000000003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16987630</v>
      </c>
      <c r="DV402" t="s">
        <v>42</v>
      </c>
      <c r="DW402" t="s">
        <v>42</v>
      </c>
      <c r="DX402">
        <v>1</v>
      </c>
      <c r="DZ402" t="s">
        <v>3</v>
      </c>
      <c r="EA402" t="s">
        <v>3</v>
      </c>
      <c r="EB402" t="s">
        <v>3</v>
      </c>
      <c r="EC402" t="s">
        <v>3</v>
      </c>
      <c r="EE402">
        <v>1364533919</v>
      </c>
      <c r="EF402">
        <v>1</v>
      </c>
      <c r="EG402" t="s">
        <v>21</v>
      </c>
      <c r="EH402">
        <v>0</v>
      </c>
      <c r="EI402" t="s">
        <v>3</v>
      </c>
      <c r="EJ402">
        <v>4</v>
      </c>
      <c r="EK402">
        <v>0</v>
      </c>
      <c r="EL402" t="s">
        <v>22</v>
      </c>
      <c r="EM402" t="s">
        <v>23</v>
      </c>
      <c r="EO402" t="s">
        <v>3</v>
      </c>
      <c r="EQ402">
        <v>0</v>
      </c>
      <c r="ER402">
        <v>414.45</v>
      </c>
      <c r="ES402">
        <v>4.03</v>
      </c>
      <c r="ET402">
        <v>0</v>
      </c>
      <c r="EU402">
        <v>0</v>
      </c>
      <c r="EV402">
        <v>410.42</v>
      </c>
      <c r="EW402">
        <v>0.72</v>
      </c>
      <c r="EX402">
        <v>0</v>
      </c>
      <c r="EY402">
        <v>0</v>
      </c>
      <c r="FQ402">
        <v>0</v>
      </c>
      <c r="FR402">
        <f t="shared" si="365"/>
        <v>0</v>
      </c>
      <c r="FS402">
        <v>0</v>
      </c>
      <c r="FX402">
        <v>70</v>
      </c>
      <c r="FY402">
        <v>10</v>
      </c>
      <c r="GA402" t="s">
        <v>3</v>
      </c>
      <c r="GD402">
        <v>0</v>
      </c>
      <c r="GF402">
        <v>2125534956</v>
      </c>
      <c r="GG402">
        <v>2</v>
      </c>
      <c r="GH402">
        <v>1</v>
      </c>
      <c r="GI402">
        <v>-2</v>
      </c>
      <c r="GJ402">
        <v>0</v>
      </c>
      <c r="GK402">
        <f>ROUND(R402*(R12)/100,2)</f>
        <v>0</v>
      </c>
      <c r="GL402">
        <f t="shared" si="366"/>
        <v>0</v>
      </c>
      <c r="GM402">
        <f t="shared" si="367"/>
        <v>1485.57</v>
      </c>
      <c r="GN402">
        <f t="shared" si="368"/>
        <v>0</v>
      </c>
      <c r="GO402">
        <f t="shared" si="369"/>
        <v>0</v>
      </c>
      <c r="GP402">
        <f t="shared" si="370"/>
        <v>1485.57</v>
      </c>
      <c r="GR402">
        <v>0</v>
      </c>
      <c r="GS402">
        <v>3</v>
      </c>
      <c r="GT402">
        <v>0</v>
      </c>
      <c r="GU402" t="s">
        <v>3</v>
      </c>
      <c r="GV402">
        <f t="shared" si="371"/>
        <v>0</v>
      </c>
      <c r="GW402">
        <v>1</v>
      </c>
      <c r="GX402">
        <f t="shared" si="372"/>
        <v>0</v>
      </c>
      <c r="HA402">
        <v>0</v>
      </c>
      <c r="HB402">
        <v>0</v>
      </c>
      <c r="HC402">
        <f t="shared" si="373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3" spans="1:245" x14ac:dyDescent="0.2">
      <c r="A403">
        <v>17</v>
      </c>
      <c r="B403">
        <v>1</v>
      </c>
      <c r="D403">
        <f>ROW(EtalonRes!A237)</f>
        <v>237</v>
      </c>
      <c r="E403" t="s">
        <v>161</v>
      </c>
      <c r="F403" t="s">
        <v>381</v>
      </c>
      <c r="G403" t="s">
        <v>382</v>
      </c>
      <c r="H403" t="s">
        <v>42</v>
      </c>
      <c r="I403">
        <v>2</v>
      </c>
      <c r="J403">
        <v>0</v>
      </c>
      <c r="K403">
        <v>2</v>
      </c>
      <c r="O403">
        <f t="shared" si="341"/>
        <v>730.8</v>
      </c>
      <c r="P403">
        <f t="shared" si="342"/>
        <v>46.74</v>
      </c>
      <c r="Q403">
        <f t="shared" si="343"/>
        <v>0</v>
      </c>
      <c r="R403">
        <f t="shared" si="344"/>
        <v>0</v>
      </c>
      <c r="S403">
        <f t="shared" si="345"/>
        <v>684.06</v>
      </c>
      <c r="T403">
        <f t="shared" si="346"/>
        <v>0</v>
      </c>
      <c r="U403">
        <f t="shared" si="347"/>
        <v>1.2000000000000002</v>
      </c>
      <c r="V403">
        <f t="shared" si="348"/>
        <v>0</v>
      </c>
      <c r="W403">
        <f t="shared" si="349"/>
        <v>0</v>
      </c>
      <c r="X403">
        <f t="shared" si="350"/>
        <v>478.84</v>
      </c>
      <c r="Y403">
        <f t="shared" si="351"/>
        <v>68.41</v>
      </c>
      <c r="AA403">
        <v>1407491423</v>
      </c>
      <c r="AB403">
        <f t="shared" si="352"/>
        <v>365.4</v>
      </c>
      <c r="AC403">
        <f>ROUND(((ES403*3)),6)</f>
        <v>23.37</v>
      </c>
      <c r="AD403">
        <f>ROUND(((((ET403*3))-((EU403*3)))+AE403),6)</f>
        <v>0</v>
      </c>
      <c r="AE403">
        <f>ROUND(((EU403*3)),6)</f>
        <v>0</v>
      </c>
      <c r="AF403">
        <f>ROUND(((EV403*3)),6)</f>
        <v>342.03</v>
      </c>
      <c r="AG403">
        <f t="shared" si="353"/>
        <v>0</v>
      </c>
      <c r="AH403">
        <f>((EW403*3))</f>
        <v>0.60000000000000009</v>
      </c>
      <c r="AI403">
        <f>((EX403*3))</f>
        <v>0</v>
      </c>
      <c r="AJ403">
        <f t="shared" si="354"/>
        <v>0</v>
      </c>
      <c r="AK403">
        <v>121.8</v>
      </c>
      <c r="AL403">
        <v>7.79</v>
      </c>
      <c r="AM403">
        <v>0</v>
      </c>
      <c r="AN403">
        <v>0</v>
      </c>
      <c r="AO403">
        <v>114.01</v>
      </c>
      <c r="AP403">
        <v>0</v>
      </c>
      <c r="AQ403">
        <v>0.2</v>
      </c>
      <c r="AR403">
        <v>0</v>
      </c>
      <c r="AS403">
        <v>0</v>
      </c>
      <c r="AT403">
        <v>70</v>
      </c>
      <c r="AU403">
        <v>10</v>
      </c>
      <c r="AV403">
        <v>1</v>
      </c>
      <c r="AW403">
        <v>1</v>
      </c>
      <c r="AZ403">
        <v>1</v>
      </c>
      <c r="BA403">
        <v>1</v>
      </c>
      <c r="BB403">
        <v>1</v>
      </c>
      <c r="BC403">
        <v>1</v>
      </c>
      <c r="BD403" t="s">
        <v>3</v>
      </c>
      <c r="BE403" t="s">
        <v>3</v>
      </c>
      <c r="BF403" t="s">
        <v>3</v>
      </c>
      <c r="BG403" t="s">
        <v>3</v>
      </c>
      <c r="BH403">
        <v>0</v>
      </c>
      <c r="BI403">
        <v>4</v>
      </c>
      <c r="BJ403" t="s">
        <v>383</v>
      </c>
      <c r="BM403">
        <v>0</v>
      </c>
      <c r="BN403">
        <v>0</v>
      </c>
      <c r="BO403" t="s">
        <v>3</v>
      </c>
      <c r="BP403">
        <v>0</v>
      </c>
      <c r="BQ403">
        <v>1</v>
      </c>
      <c r="BR403">
        <v>0</v>
      </c>
      <c r="BS403">
        <v>1</v>
      </c>
      <c r="BT403">
        <v>1</v>
      </c>
      <c r="BU403">
        <v>1</v>
      </c>
      <c r="BV403">
        <v>1</v>
      </c>
      <c r="BW403">
        <v>1</v>
      </c>
      <c r="BX403">
        <v>1</v>
      </c>
      <c r="BY403" t="s">
        <v>3</v>
      </c>
      <c r="BZ403">
        <v>70</v>
      </c>
      <c r="CA403">
        <v>10</v>
      </c>
      <c r="CB403" t="s">
        <v>3</v>
      </c>
      <c r="CE403">
        <v>0</v>
      </c>
      <c r="CF403">
        <v>0</v>
      </c>
      <c r="CG403">
        <v>0</v>
      </c>
      <c r="CM403">
        <v>0</v>
      </c>
      <c r="CN403" t="s">
        <v>3</v>
      </c>
      <c r="CO403">
        <v>0</v>
      </c>
      <c r="CP403">
        <f t="shared" si="355"/>
        <v>730.8</v>
      </c>
      <c r="CQ403">
        <f t="shared" si="356"/>
        <v>23.37</v>
      </c>
      <c r="CR403">
        <f>(((((ET403*3))*BB403-((EU403*3))*BS403)+AE403*BS403)*AV403)</f>
        <v>0</v>
      </c>
      <c r="CS403">
        <f t="shared" si="357"/>
        <v>0</v>
      </c>
      <c r="CT403">
        <f t="shared" si="358"/>
        <v>342.03</v>
      </c>
      <c r="CU403">
        <f t="shared" si="359"/>
        <v>0</v>
      </c>
      <c r="CV403">
        <f t="shared" si="360"/>
        <v>0.60000000000000009</v>
      </c>
      <c r="CW403">
        <f t="shared" si="361"/>
        <v>0</v>
      </c>
      <c r="CX403">
        <f t="shared" si="362"/>
        <v>0</v>
      </c>
      <c r="CY403">
        <f t="shared" si="363"/>
        <v>478.84199999999998</v>
      </c>
      <c r="CZ403">
        <f t="shared" si="364"/>
        <v>68.405999999999992</v>
      </c>
      <c r="DC403" t="s">
        <v>3</v>
      </c>
      <c r="DD403" t="s">
        <v>69</v>
      </c>
      <c r="DE403" t="s">
        <v>69</v>
      </c>
      <c r="DF403" t="s">
        <v>69</v>
      </c>
      <c r="DG403" t="s">
        <v>69</v>
      </c>
      <c r="DH403" t="s">
        <v>3</v>
      </c>
      <c r="DI403" t="s">
        <v>69</v>
      </c>
      <c r="DJ403" t="s">
        <v>69</v>
      </c>
      <c r="DK403" t="s">
        <v>3</v>
      </c>
      <c r="DL403" t="s">
        <v>3</v>
      </c>
      <c r="DM403" t="s">
        <v>3</v>
      </c>
      <c r="DN403">
        <v>0</v>
      </c>
      <c r="DO403">
        <v>0</v>
      </c>
      <c r="DP403">
        <v>1</v>
      </c>
      <c r="DQ403">
        <v>1</v>
      </c>
      <c r="DU403">
        <v>16987630</v>
      </c>
      <c r="DV403" t="s">
        <v>42</v>
      </c>
      <c r="DW403" t="s">
        <v>42</v>
      </c>
      <c r="DX403">
        <v>1</v>
      </c>
      <c r="DZ403" t="s">
        <v>3</v>
      </c>
      <c r="EA403" t="s">
        <v>3</v>
      </c>
      <c r="EB403" t="s">
        <v>3</v>
      </c>
      <c r="EC403" t="s">
        <v>3</v>
      </c>
      <c r="EE403">
        <v>1364533919</v>
      </c>
      <c r="EF403">
        <v>1</v>
      </c>
      <c r="EG403" t="s">
        <v>21</v>
      </c>
      <c r="EH403">
        <v>0</v>
      </c>
      <c r="EI403" t="s">
        <v>3</v>
      </c>
      <c r="EJ403">
        <v>4</v>
      </c>
      <c r="EK403">
        <v>0</v>
      </c>
      <c r="EL403" t="s">
        <v>22</v>
      </c>
      <c r="EM403" t="s">
        <v>23</v>
      </c>
      <c r="EO403" t="s">
        <v>3</v>
      </c>
      <c r="EQ403">
        <v>0</v>
      </c>
      <c r="ER403">
        <v>121.8</v>
      </c>
      <c r="ES403">
        <v>7.79</v>
      </c>
      <c r="ET403">
        <v>0</v>
      </c>
      <c r="EU403">
        <v>0</v>
      </c>
      <c r="EV403">
        <v>114.01</v>
      </c>
      <c r="EW403">
        <v>0.2</v>
      </c>
      <c r="EX403">
        <v>0</v>
      </c>
      <c r="EY403">
        <v>0</v>
      </c>
      <c r="FQ403">
        <v>0</v>
      </c>
      <c r="FR403">
        <f t="shared" si="365"/>
        <v>0</v>
      </c>
      <c r="FS403">
        <v>0</v>
      </c>
      <c r="FX403">
        <v>70</v>
      </c>
      <c r="FY403">
        <v>10</v>
      </c>
      <c r="GA403" t="s">
        <v>3</v>
      </c>
      <c r="GD403">
        <v>0</v>
      </c>
      <c r="GF403">
        <v>-2074417682</v>
      </c>
      <c r="GG403">
        <v>2</v>
      </c>
      <c r="GH403">
        <v>1</v>
      </c>
      <c r="GI403">
        <v>-2</v>
      </c>
      <c r="GJ403">
        <v>0</v>
      </c>
      <c r="GK403">
        <f>ROUND(R403*(R12)/100,2)</f>
        <v>0</v>
      </c>
      <c r="GL403">
        <f t="shared" si="366"/>
        <v>0</v>
      </c>
      <c r="GM403">
        <f t="shared" si="367"/>
        <v>1278.05</v>
      </c>
      <c r="GN403">
        <f t="shared" si="368"/>
        <v>0</v>
      </c>
      <c r="GO403">
        <f t="shared" si="369"/>
        <v>0</v>
      </c>
      <c r="GP403">
        <f t="shared" si="370"/>
        <v>1278.05</v>
      </c>
      <c r="GR403">
        <v>0</v>
      </c>
      <c r="GS403">
        <v>3</v>
      </c>
      <c r="GT403">
        <v>0</v>
      </c>
      <c r="GU403" t="s">
        <v>3</v>
      </c>
      <c r="GV403">
        <f t="shared" si="371"/>
        <v>0</v>
      </c>
      <c r="GW403">
        <v>1</v>
      </c>
      <c r="GX403">
        <f t="shared" si="372"/>
        <v>0</v>
      </c>
      <c r="HA403">
        <v>0</v>
      </c>
      <c r="HB403">
        <v>0</v>
      </c>
      <c r="HC403">
        <f t="shared" si="373"/>
        <v>0</v>
      </c>
      <c r="HE403" t="s">
        <v>3</v>
      </c>
      <c r="HF403" t="s">
        <v>3</v>
      </c>
      <c r="HM403" t="s">
        <v>3</v>
      </c>
      <c r="HN403" t="s">
        <v>3</v>
      </c>
      <c r="HO403" t="s">
        <v>3</v>
      </c>
      <c r="HP403" t="s">
        <v>3</v>
      </c>
      <c r="HQ403" t="s">
        <v>3</v>
      </c>
      <c r="IK403">
        <v>0</v>
      </c>
    </row>
    <row r="404" spans="1:245" x14ac:dyDescent="0.2">
      <c r="A404">
        <v>17</v>
      </c>
      <c r="B404">
        <v>1</v>
      </c>
      <c r="D404">
        <f>ROW(EtalonRes!A240)</f>
        <v>240</v>
      </c>
      <c r="E404" t="s">
        <v>3</v>
      </c>
      <c r="F404" t="s">
        <v>384</v>
      </c>
      <c r="G404" t="s">
        <v>385</v>
      </c>
      <c r="H404" t="s">
        <v>42</v>
      </c>
      <c r="I404">
        <v>1</v>
      </c>
      <c r="J404">
        <v>0</v>
      </c>
      <c r="K404">
        <v>1</v>
      </c>
      <c r="O404">
        <f t="shared" si="341"/>
        <v>401.48</v>
      </c>
      <c r="P404">
        <f t="shared" si="342"/>
        <v>15.12</v>
      </c>
      <c r="Q404">
        <f t="shared" si="343"/>
        <v>0</v>
      </c>
      <c r="R404">
        <f t="shared" si="344"/>
        <v>0</v>
      </c>
      <c r="S404">
        <f t="shared" si="345"/>
        <v>386.36</v>
      </c>
      <c r="T404">
        <f t="shared" si="346"/>
        <v>0</v>
      </c>
      <c r="U404">
        <f t="shared" si="347"/>
        <v>0.8</v>
      </c>
      <c r="V404">
        <f t="shared" si="348"/>
        <v>0</v>
      </c>
      <c r="W404">
        <f t="shared" si="349"/>
        <v>0</v>
      </c>
      <c r="X404">
        <f t="shared" si="350"/>
        <v>270.45</v>
      </c>
      <c r="Y404">
        <f t="shared" si="351"/>
        <v>38.64</v>
      </c>
      <c r="AA404">
        <v>-1</v>
      </c>
      <c r="AB404">
        <f t="shared" si="352"/>
        <v>401.48</v>
      </c>
      <c r="AC404">
        <f>ROUND(((ES404*4)),6)</f>
        <v>15.12</v>
      </c>
      <c r="AD404">
        <f>ROUND(((((ET404*4))-((EU404*4)))+AE404),6)</f>
        <v>0</v>
      </c>
      <c r="AE404">
        <f>ROUND(((EU404*4)),6)</f>
        <v>0</v>
      </c>
      <c r="AF404">
        <f>ROUND(((EV404*4)),6)</f>
        <v>386.36</v>
      </c>
      <c r="AG404">
        <f t="shared" si="353"/>
        <v>0</v>
      </c>
      <c r="AH404">
        <f>((EW404*4))</f>
        <v>0.8</v>
      </c>
      <c r="AI404">
        <f>((EX404*4))</f>
        <v>0</v>
      </c>
      <c r="AJ404">
        <f t="shared" si="354"/>
        <v>0</v>
      </c>
      <c r="AK404">
        <v>100.37</v>
      </c>
      <c r="AL404">
        <v>3.78</v>
      </c>
      <c r="AM404">
        <v>0</v>
      </c>
      <c r="AN404">
        <v>0</v>
      </c>
      <c r="AO404">
        <v>96.59</v>
      </c>
      <c r="AP404">
        <v>0</v>
      </c>
      <c r="AQ404">
        <v>0.2</v>
      </c>
      <c r="AR404">
        <v>0</v>
      </c>
      <c r="AS404">
        <v>0</v>
      </c>
      <c r="AT404">
        <v>70</v>
      </c>
      <c r="AU404">
        <v>10</v>
      </c>
      <c r="AV404">
        <v>1</v>
      </c>
      <c r="AW404">
        <v>1</v>
      </c>
      <c r="AZ404">
        <v>1</v>
      </c>
      <c r="BA404">
        <v>1</v>
      </c>
      <c r="BB404">
        <v>1</v>
      </c>
      <c r="BC404">
        <v>1</v>
      </c>
      <c r="BD404" t="s">
        <v>3</v>
      </c>
      <c r="BE404" t="s">
        <v>3</v>
      </c>
      <c r="BF404" t="s">
        <v>3</v>
      </c>
      <c r="BG404" t="s">
        <v>3</v>
      </c>
      <c r="BH404">
        <v>0</v>
      </c>
      <c r="BI404">
        <v>4</v>
      </c>
      <c r="BJ404" t="s">
        <v>386</v>
      </c>
      <c r="BM404">
        <v>0</v>
      </c>
      <c r="BN404">
        <v>0</v>
      </c>
      <c r="BO404" t="s">
        <v>3</v>
      </c>
      <c r="BP404">
        <v>0</v>
      </c>
      <c r="BQ404">
        <v>1</v>
      </c>
      <c r="BR404">
        <v>0</v>
      </c>
      <c r="BS404">
        <v>1</v>
      </c>
      <c r="BT404">
        <v>1</v>
      </c>
      <c r="BU404">
        <v>1</v>
      </c>
      <c r="BV404">
        <v>1</v>
      </c>
      <c r="BW404">
        <v>1</v>
      </c>
      <c r="BX404">
        <v>1</v>
      </c>
      <c r="BY404" t="s">
        <v>3</v>
      </c>
      <c r="BZ404">
        <v>70</v>
      </c>
      <c r="CA404">
        <v>10</v>
      </c>
      <c r="CB404" t="s">
        <v>3</v>
      </c>
      <c r="CE404">
        <v>0</v>
      </c>
      <c r="CF404">
        <v>0</v>
      </c>
      <c r="CG404">
        <v>0</v>
      </c>
      <c r="CM404">
        <v>0</v>
      </c>
      <c r="CN404" t="s">
        <v>3</v>
      </c>
      <c r="CO404">
        <v>0</v>
      </c>
      <c r="CP404">
        <f t="shared" si="355"/>
        <v>401.48</v>
      </c>
      <c r="CQ404">
        <f t="shared" si="356"/>
        <v>15.12</v>
      </c>
      <c r="CR404">
        <f>(((((ET404*4))*BB404-((EU404*4))*BS404)+AE404*BS404)*AV404)</f>
        <v>0</v>
      </c>
      <c r="CS404">
        <f t="shared" si="357"/>
        <v>0</v>
      </c>
      <c r="CT404">
        <f t="shared" si="358"/>
        <v>386.36</v>
      </c>
      <c r="CU404">
        <f t="shared" si="359"/>
        <v>0</v>
      </c>
      <c r="CV404">
        <f t="shared" si="360"/>
        <v>0.8</v>
      </c>
      <c r="CW404">
        <f t="shared" si="361"/>
        <v>0</v>
      </c>
      <c r="CX404">
        <f t="shared" si="362"/>
        <v>0</v>
      </c>
      <c r="CY404">
        <f t="shared" si="363"/>
        <v>270.452</v>
      </c>
      <c r="CZ404">
        <f t="shared" si="364"/>
        <v>38.636000000000003</v>
      </c>
      <c r="DC404" t="s">
        <v>3</v>
      </c>
      <c r="DD404" t="s">
        <v>20</v>
      </c>
      <c r="DE404" t="s">
        <v>20</v>
      </c>
      <c r="DF404" t="s">
        <v>20</v>
      </c>
      <c r="DG404" t="s">
        <v>20</v>
      </c>
      <c r="DH404" t="s">
        <v>3</v>
      </c>
      <c r="DI404" t="s">
        <v>20</v>
      </c>
      <c r="DJ404" t="s">
        <v>20</v>
      </c>
      <c r="DK404" t="s">
        <v>3</v>
      </c>
      <c r="DL404" t="s">
        <v>3</v>
      </c>
      <c r="DM404" t="s">
        <v>3</v>
      </c>
      <c r="DN404">
        <v>0</v>
      </c>
      <c r="DO404">
        <v>0</v>
      </c>
      <c r="DP404">
        <v>1</v>
      </c>
      <c r="DQ404">
        <v>1</v>
      </c>
      <c r="DU404">
        <v>16987630</v>
      </c>
      <c r="DV404" t="s">
        <v>42</v>
      </c>
      <c r="DW404" t="s">
        <v>42</v>
      </c>
      <c r="DX404">
        <v>1</v>
      </c>
      <c r="DZ404" t="s">
        <v>3</v>
      </c>
      <c r="EA404" t="s">
        <v>3</v>
      </c>
      <c r="EB404" t="s">
        <v>3</v>
      </c>
      <c r="EC404" t="s">
        <v>3</v>
      </c>
      <c r="EE404">
        <v>1364533919</v>
      </c>
      <c r="EF404">
        <v>1</v>
      </c>
      <c r="EG404" t="s">
        <v>21</v>
      </c>
      <c r="EH404">
        <v>0</v>
      </c>
      <c r="EI404" t="s">
        <v>3</v>
      </c>
      <c r="EJ404">
        <v>4</v>
      </c>
      <c r="EK404">
        <v>0</v>
      </c>
      <c r="EL404" t="s">
        <v>22</v>
      </c>
      <c r="EM404" t="s">
        <v>23</v>
      </c>
      <c r="EO404" t="s">
        <v>3</v>
      </c>
      <c r="EQ404">
        <v>1311744</v>
      </c>
      <c r="ER404">
        <v>100.37</v>
      </c>
      <c r="ES404">
        <v>3.78</v>
      </c>
      <c r="ET404">
        <v>0</v>
      </c>
      <c r="EU404">
        <v>0</v>
      </c>
      <c r="EV404">
        <v>96.59</v>
      </c>
      <c r="EW404">
        <v>0.2</v>
      </c>
      <c r="EX404">
        <v>0</v>
      </c>
      <c r="EY404">
        <v>0</v>
      </c>
      <c r="FQ404">
        <v>0</v>
      </c>
      <c r="FR404">
        <f t="shared" si="365"/>
        <v>0</v>
      </c>
      <c r="FS404">
        <v>0</v>
      </c>
      <c r="FX404">
        <v>70</v>
      </c>
      <c r="FY404">
        <v>10</v>
      </c>
      <c r="GA404" t="s">
        <v>3</v>
      </c>
      <c r="GD404">
        <v>0</v>
      </c>
      <c r="GF404">
        <v>146127345</v>
      </c>
      <c r="GG404">
        <v>2</v>
      </c>
      <c r="GH404">
        <v>1</v>
      </c>
      <c r="GI404">
        <v>-2</v>
      </c>
      <c r="GJ404">
        <v>0</v>
      </c>
      <c r="GK404">
        <f>ROUND(R404*(R12)/100,2)</f>
        <v>0</v>
      </c>
      <c r="GL404">
        <f t="shared" si="366"/>
        <v>0</v>
      </c>
      <c r="GM404">
        <f t="shared" si="367"/>
        <v>710.57</v>
      </c>
      <c r="GN404">
        <f t="shared" si="368"/>
        <v>0</v>
      </c>
      <c r="GO404">
        <f t="shared" si="369"/>
        <v>0</v>
      </c>
      <c r="GP404">
        <f t="shared" si="370"/>
        <v>710.57</v>
      </c>
      <c r="GR404">
        <v>0</v>
      </c>
      <c r="GS404">
        <v>3</v>
      </c>
      <c r="GT404">
        <v>0</v>
      </c>
      <c r="GU404" t="s">
        <v>3</v>
      </c>
      <c r="GV404">
        <f t="shared" si="371"/>
        <v>0</v>
      </c>
      <c r="GW404">
        <v>1</v>
      </c>
      <c r="GX404">
        <f t="shared" si="372"/>
        <v>0</v>
      </c>
      <c r="HA404">
        <v>0</v>
      </c>
      <c r="HB404">
        <v>0</v>
      </c>
      <c r="HC404">
        <f t="shared" si="373"/>
        <v>0</v>
      </c>
      <c r="HE404" t="s">
        <v>3</v>
      </c>
      <c r="HF404" t="s">
        <v>3</v>
      </c>
      <c r="HM404" t="s">
        <v>3</v>
      </c>
      <c r="HN404" t="s">
        <v>3</v>
      </c>
      <c r="HO404" t="s">
        <v>3</v>
      </c>
      <c r="HP404" t="s">
        <v>3</v>
      </c>
      <c r="HQ404" t="s">
        <v>3</v>
      </c>
      <c r="IK404">
        <v>0</v>
      </c>
    </row>
    <row r="405" spans="1:245" x14ac:dyDescent="0.2">
      <c r="A405">
        <v>17</v>
      </c>
      <c r="B405">
        <v>1</v>
      </c>
      <c r="D405">
        <f>ROW(EtalonRes!A241)</f>
        <v>241</v>
      </c>
      <c r="E405" t="s">
        <v>163</v>
      </c>
      <c r="F405" t="s">
        <v>387</v>
      </c>
      <c r="G405" t="s">
        <v>388</v>
      </c>
      <c r="H405" t="s">
        <v>389</v>
      </c>
      <c r="I405">
        <v>4</v>
      </c>
      <c r="J405">
        <v>0</v>
      </c>
      <c r="K405">
        <v>4</v>
      </c>
      <c r="O405">
        <f t="shared" si="341"/>
        <v>4609.6000000000004</v>
      </c>
      <c r="P405">
        <f t="shared" si="342"/>
        <v>0</v>
      </c>
      <c r="Q405">
        <f t="shared" si="343"/>
        <v>0</v>
      </c>
      <c r="R405">
        <f t="shared" si="344"/>
        <v>0</v>
      </c>
      <c r="S405">
        <f t="shared" si="345"/>
        <v>4609.6000000000004</v>
      </c>
      <c r="T405">
        <f t="shared" si="346"/>
        <v>0</v>
      </c>
      <c r="U405">
        <f t="shared" si="347"/>
        <v>7.04</v>
      </c>
      <c r="V405">
        <f t="shared" si="348"/>
        <v>0</v>
      </c>
      <c r="W405">
        <f t="shared" si="349"/>
        <v>0</v>
      </c>
      <c r="X405">
        <f t="shared" si="350"/>
        <v>3226.72</v>
      </c>
      <c r="Y405">
        <f t="shared" si="351"/>
        <v>460.96</v>
      </c>
      <c r="AA405">
        <v>1407491423</v>
      </c>
      <c r="AB405">
        <f t="shared" si="352"/>
        <v>1152.4000000000001</v>
      </c>
      <c r="AC405">
        <f>ROUND(((ES405*4)),6)</f>
        <v>0</v>
      </c>
      <c r="AD405">
        <f>ROUND(((((ET405*4))-((EU405*4)))+AE405),6)</f>
        <v>0</v>
      </c>
      <c r="AE405">
        <f>ROUND(((EU405*4)),6)</f>
        <v>0</v>
      </c>
      <c r="AF405">
        <f>ROUND(((EV405*4)),6)</f>
        <v>1152.4000000000001</v>
      </c>
      <c r="AG405">
        <f t="shared" si="353"/>
        <v>0</v>
      </c>
      <c r="AH405">
        <f>((EW405*4))</f>
        <v>1.76</v>
      </c>
      <c r="AI405">
        <f>((EX405*4))</f>
        <v>0</v>
      </c>
      <c r="AJ405">
        <f t="shared" si="354"/>
        <v>0</v>
      </c>
      <c r="AK405">
        <v>288.10000000000002</v>
      </c>
      <c r="AL405">
        <v>0</v>
      </c>
      <c r="AM405">
        <v>0</v>
      </c>
      <c r="AN405">
        <v>0</v>
      </c>
      <c r="AO405">
        <v>288.10000000000002</v>
      </c>
      <c r="AP405">
        <v>0</v>
      </c>
      <c r="AQ405">
        <v>0.44</v>
      </c>
      <c r="AR405">
        <v>0</v>
      </c>
      <c r="AS405">
        <v>0</v>
      </c>
      <c r="AT405">
        <v>70</v>
      </c>
      <c r="AU405">
        <v>10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1</v>
      </c>
      <c r="BD405" t="s">
        <v>3</v>
      </c>
      <c r="BE405" t="s">
        <v>3</v>
      </c>
      <c r="BF405" t="s">
        <v>3</v>
      </c>
      <c r="BG405" t="s">
        <v>3</v>
      </c>
      <c r="BH405">
        <v>0</v>
      </c>
      <c r="BI405">
        <v>4</v>
      </c>
      <c r="BJ405" t="s">
        <v>390</v>
      </c>
      <c r="BM405">
        <v>0</v>
      </c>
      <c r="BN405">
        <v>0</v>
      </c>
      <c r="BO405" t="s">
        <v>3</v>
      </c>
      <c r="BP405">
        <v>0</v>
      </c>
      <c r="BQ405">
        <v>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70</v>
      </c>
      <c r="CA405">
        <v>10</v>
      </c>
      <c r="CB405" t="s">
        <v>3</v>
      </c>
      <c r="CE405">
        <v>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 t="shared" si="355"/>
        <v>4609.6000000000004</v>
      </c>
      <c r="CQ405">
        <f t="shared" si="356"/>
        <v>0</v>
      </c>
      <c r="CR405">
        <f>(((((ET405*4))*BB405-((EU405*4))*BS405)+AE405*BS405)*AV405)</f>
        <v>0</v>
      </c>
      <c r="CS405">
        <f t="shared" si="357"/>
        <v>0</v>
      </c>
      <c r="CT405">
        <f t="shared" si="358"/>
        <v>1152.4000000000001</v>
      </c>
      <c r="CU405">
        <f t="shared" si="359"/>
        <v>0</v>
      </c>
      <c r="CV405">
        <f t="shared" si="360"/>
        <v>1.76</v>
      </c>
      <c r="CW405">
        <f t="shared" si="361"/>
        <v>0</v>
      </c>
      <c r="CX405">
        <f t="shared" si="362"/>
        <v>0</v>
      </c>
      <c r="CY405">
        <f t="shared" si="363"/>
        <v>3226.72</v>
      </c>
      <c r="CZ405">
        <f t="shared" si="364"/>
        <v>460.96</v>
      </c>
      <c r="DC405" t="s">
        <v>3</v>
      </c>
      <c r="DD405" t="s">
        <v>20</v>
      </c>
      <c r="DE405" t="s">
        <v>20</v>
      </c>
      <c r="DF405" t="s">
        <v>20</v>
      </c>
      <c r="DG405" t="s">
        <v>20</v>
      </c>
      <c r="DH405" t="s">
        <v>3</v>
      </c>
      <c r="DI405" t="s">
        <v>20</v>
      </c>
      <c r="DJ405" t="s">
        <v>20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1013</v>
      </c>
      <c r="DV405" t="s">
        <v>389</v>
      </c>
      <c r="DW405" t="s">
        <v>389</v>
      </c>
      <c r="DX405">
        <v>1</v>
      </c>
      <c r="DZ405" t="s">
        <v>3</v>
      </c>
      <c r="EA405" t="s">
        <v>3</v>
      </c>
      <c r="EB405" t="s">
        <v>3</v>
      </c>
      <c r="EC405" t="s">
        <v>3</v>
      </c>
      <c r="EE405">
        <v>1364533919</v>
      </c>
      <c r="EF405">
        <v>1</v>
      </c>
      <c r="EG405" t="s">
        <v>21</v>
      </c>
      <c r="EH405">
        <v>0</v>
      </c>
      <c r="EI405" t="s">
        <v>3</v>
      </c>
      <c r="EJ405">
        <v>4</v>
      </c>
      <c r="EK405">
        <v>0</v>
      </c>
      <c r="EL405" t="s">
        <v>22</v>
      </c>
      <c r="EM405" t="s">
        <v>23</v>
      </c>
      <c r="EO405" t="s">
        <v>3</v>
      </c>
      <c r="EQ405">
        <v>0</v>
      </c>
      <c r="ER405">
        <v>288.10000000000002</v>
      </c>
      <c r="ES405">
        <v>0</v>
      </c>
      <c r="ET405">
        <v>0</v>
      </c>
      <c r="EU405">
        <v>0</v>
      </c>
      <c r="EV405">
        <v>288.10000000000002</v>
      </c>
      <c r="EW405">
        <v>0.44</v>
      </c>
      <c r="EX405">
        <v>0</v>
      </c>
      <c r="EY405">
        <v>0</v>
      </c>
      <c r="FQ405">
        <v>0</v>
      </c>
      <c r="FR405">
        <f t="shared" si="365"/>
        <v>0</v>
      </c>
      <c r="FS405">
        <v>0</v>
      </c>
      <c r="FX405">
        <v>70</v>
      </c>
      <c r="FY405">
        <v>10</v>
      </c>
      <c r="GA405" t="s">
        <v>3</v>
      </c>
      <c r="GD405">
        <v>0</v>
      </c>
      <c r="GF405">
        <v>-1179144249</v>
      </c>
      <c r="GG405">
        <v>2</v>
      </c>
      <c r="GH405">
        <v>1</v>
      </c>
      <c r="GI405">
        <v>-2</v>
      </c>
      <c r="GJ405">
        <v>0</v>
      </c>
      <c r="GK405">
        <f>ROUND(R405*(R12)/100,2)</f>
        <v>0</v>
      </c>
      <c r="GL405">
        <f t="shared" si="366"/>
        <v>0</v>
      </c>
      <c r="GM405">
        <f t="shared" si="367"/>
        <v>8297.2800000000007</v>
      </c>
      <c r="GN405">
        <f t="shared" si="368"/>
        <v>0</v>
      </c>
      <c r="GO405">
        <f t="shared" si="369"/>
        <v>0</v>
      </c>
      <c r="GP405">
        <f t="shared" si="370"/>
        <v>8297.2800000000007</v>
      </c>
      <c r="GR405">
        <v>0</v>
      </c>
      <c r="GS405">
        <v>3</v>
      </c>
      <c r="GT405">
        <v>0</v>
      </c>
      <c r="GU405" t="s">
        <v>3</v>
      </c>
      <c r="GV405">
        <f t="shared" si="371"/>
        <v>0</v>
      </c>
      <c r="GW405">
        <v>1</v>
      </c>
      <c r="GX405">
        <f t="shared" si="372"/>
        <v>0</v>
      </c>
      <c r="HA405">
        <v>0</v>
      </c>
      <c r="HB405">
        <v>0</v>
      </c>
      <c r="HC405">
        <f t="shared" si="373"/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1</v>
      </c>
      <c r="D406">
        <f>ROW(EtalonRes!A246)</f>
        <v>246</v>
      </c>
      <c r="E406" t="s">
        <v>167</v>
      </c>
      <c r="F406" t="s">
        <v>391</v>
      </c>
      <c r="G406" t="s">
        <v>392</v>
      </c>
      <c r="H406" t="s">
        <v>42</v>
      </c>
      <c r="I406">
        <v>1</v>
      </c>
      <c r="J406">
        <v>0</v>
      </c>
      <c r="K406">
        <v>1</v>
      </c>
      <c r="O406">
        <f t="shared" si="341"/>
        <v>961.9</v>
      </c>
      <c r="P406">
        <f t="shared" si="342"/>
        <v>0.69</v>
      </c>
      <c r="Q406">
        <f t="shared" si="343"/>
        <v>223.57</v>
      </c>
      <c r="R406">
        <f t="shared" si="344"/>
        <v>121.27</v>
      </c>
      <c r="S406">
        <f t="shared" si="345"/>
        <v>737.64</v>
      </c>
      <c r="T406">
        <f t="shared" si="346"/>
        <v>0</v>
      </c>
      <c r="U406">
        <f t="shared" si="347"/>
        <v>1.21</v>
      </c>
      <c r="V406">
        <f t="shared" si="348"/>
        <v>0</v>
      </c>
      <c r="W406">
        <f t="shared" si="349"/>
        <v>0</v>
      </c>
      <c r="X406">
        <f t="shared" si="350"/>
        <v>516.35</v>
      </c>
      <c r="Y406">
        <f t="shared" si="351"/>
        <v>73.760000000000005</v>
      </c>
      <c r="AA406">
        <v>1407491423</v>
      </c>
      <c r="AB406">
        <f t="shared" si="352"/>
        <v>961.9</v>
      </c>
      <c r="AC406">
        <f>ROUND((ES406),6)</f>
        <v>0.69</v>
      </c>
      <c r="AD406">
        <f>ROUND((((ET406)-(EU406))+AE406),6)</f>
        <v>223.57</v>
      </c>
      <c r="AE406">
        <f>ROUND((EU406),6)</f>
        <v>121.27</v>
      </c>
      <c r="AF406">
        <f>ROUND((EV406),6)</f>
        <v>737.64</v>
      </c>
      <c r="AG406">
        <f t="shared" si="353"/>
        <v>0</v>
      </c>
      <c r="AH406">
        <f>(EW406)</f>
        <v>1.21</v>
      </c>
      <c r="AI406">
        <f>(EX406)</f>
        <v>0</v>
      </c>
      <c r="AJ406">
        <f t="shared" si="354"/>
        <v>0</v>
      </c>
      <c r="AK406">
        <v>961.9</v>
      </c>
      <c r="AL406">
        <v>0.69</v>
      </c>
      <c r="AM406">
        <v>223.57</v>
      </c>
      <c r="AN406">
        <v>121.27</v>
      </c>
      <c r="AO406">
        <v>737.64</v>
      </c>
      <c r="AP406">
        <v>0</v>
      </c>
      <c r="AQ406">
        <v>1.21</v>
      </c>
      <c r="AR406">
        <v>0</v>
      </c>
      <c r="AS406">
        <v>0</v>
      </c>
      <c r="AT406">
        <v>70</v>
      </c>
      <c r="AU406">
        <v>10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1</v>
      </c>
      <c r="BD406" t="s">
        <v>3</v>
      </c>
      <c r="BE406" t="s">
        <v>3</v>
      </c>
      <c r="BF406" t="s">
        <v>3</v>
      </c>
      <c r="BG406" t="s">
        <v>3</v>
      </c>
      <c r="BH406">
        <v>0</v>
      </c>
      <c r="BI406">
        <v>4</v>
      </c>
      <c r="BJ406" t="s">
        <v>393</v>
      </c>
      <c r="BM406">
        <v>0</v>
      </c>
      <c r="BN406">
        <v>0</v>
      </c>
      <c r="BO406" t="s">
        <v>3</v>
      </c>
      <c r="BP406">
        <v>0</v>
      </c>
      <c r="BQ406">
        <v>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70</v>
      </c>
      <c r="CA406">
        <v>10</v>
      </c>
      <c r="CB406" t="s">
        <v>3</v>
      </c>
      <c r="CE406">
        <v>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si="355"/>
        <v>961.9</v>
      </c>
      <c r="CQ406">
        <f t="shared" si="356"/>
        <v>0.69</v>
      </c>
      <c r="CR406">
        <f>((((ET406)*BB406-(EU406)*BS406)+AE406*BS406)*AV406)</f>
        <v>223.57</v>
      </c>
      <c r="CS406">
        <f t="shared" si="357"/>
        <v>121.27</v>
      </c>
      <c r="CT406">
        <f t="shared" si="358"/>
        <v>737.64</v>
      </c>
      <c r="CU406">
        <f t="shared" si="359"/>
        <v>0</v>
      </c>
      <c r="CV406">
        <f t="shared" si="360"/>
        <v>1.21</v>
      </c>
      <c r="CW406">
        <f t="shared" si="361"/>
        <v>0</v>
      </c>
      <c r="CX406">
        <f t="shared" si="362"/>
        <v>0</v>
      </c>
      <c r="CY406">
        <f t="shared" si="363"/>
        <v>516.34799999999996</v>
      </c>
      <c r="CZ406">
        <f t="shared" si="364"/>
        <v>73.763999999999996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16987630</v>
      </c>
      <c r="DV406" t="s">
        <v>42</v>
      </c>
      <c r="DW406" t="s">
        <v>42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1364533919</v>
      </c>
      <c r="EF406">
        <v>1</v>
      </c>
      <c r="EG406" t="s">
        <v>21</v>
      </c>
      <c r="EH406">
        <v>0</v>
      </c>
      <c r="EI406" t="s">
        <v>3</v>
      </c>
      <c r="EJ406">
        <v>4</v>
      </c>
      <c r="EK406">
        <v>0</v>
      </c>
      <c r="EL406" t="s">
        <v>22</v>
      </c>
      <c r="EM406" t="s">
        <v>23</v>
      </c>
      <c r="EO406" t="s">
        <v>3</v>
      </c>
      <c r="EQ406">
        <v>0</v>
      </c>
      <c r="ER406">
        <v>961.9</v>
      </c>
      <c r="ES406">
        <v>0.69</v>
      </c>
      <c r="ET406">
        <v>223.57</v>
      </c>
      <c r="EU406">
        <v>121.27</v>
      </c>
      <c r="EV406">
        <v>737.64</v>
      </c>
      <c r="EW406">
        <v>1.21</v>
      </c>
      <c r="EX406">
        <v>0</v>
      </c>
      <c r="EY406">
        <v>0</v>
      </c>
      <c r="FQ406">
        <v>0</v>
      </c>
      <c r="FR406">
        <f t="shared" si="365"/>
        <v>0</v>
      </c>
      <c r="FS406">
        <v>0</v>
      </c>
      <c r="FX406">
        <v>70</v>
      </c>
      <c r="FY406">
        <v>10</v>
      </c>
      <c r="GA406" t="s">
        <v>3</v>
      </c>
      <c r="GD406">
        <v>0</v>
      </c>
      <c r="GF406">
        <v>-273369176</v>
      </c>
      <c r="GG406">
        <v>2</v>
      </c>
      <c r="GH406">
        <v>1</v>
      </c>
      <c r="GI406">
        <v>-2</v>
      </c>
      <c r="GJ406">
        <v>0</v>
      </c>
      <c r="GK406">
        <f>ROUND(R406*(R12)/100,2)</f>
        <v>130.97</v>
      </c>
      <c r="GL406">
        <f t="shared" si="366"/>
        <v>0</v>
      </c>
      <c r="GM406">
        <f t="shared" si="367"/>
        <v>1682.98</v>
      </c>
      <c r="GN406">
        <f t="shared" si="368"/>
        <v>0</v>
      </c>
      <c r="GO406">
        <f t="shared" si="369"/>
        <v>0</v>
      </c>
      <c r="GP406">
        <f t="shared" si="370"/>
        <v>1682.98</v>
      </c>
      <c r="GR406">
        <v>0</v>
      </c>
      <c r="GS406">
        <v>3</v>
      </c>
      <c r="GT406">
        <v>0</v>
      </c>
      <c r="GU406" t="s">
        <v>3</v>
      </c>
      <c r="GV406">
        <f t="shared" si="371"/>
        <v>0</v>
      </c>
      <c r="GW406">
        <v>1</v>
      </c>
      <c r="GX406">
        <f t="shared" si="372"/>
        <v>0</v>
      </c>
      <c r="HA406">
        <v>0</v>
      </c>
      <c r="HB406">
        <v>0</v>
      </c>
      <c r="HC406">
        <f t="shared" si="373"/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D407">
        <f>ROW(EtalonRes!A251)</f>
        <v>251</v>
      </c>
      <c r="E407" t="s">
        <v>171</v>
      </c>
      <c r="F407" t="s">
        <v>394</v>
      </c>
      <c r="G407" t="s">
        <v>395</v>
      </c>
      <c r="H407" t="s">
        <v>42</v>
      </c>
      <c r="I407">
        <v>1</v>
      </c>
      <c r="J407">
        <v>0</v>
      </c>
      <c r="K407">
        <v>1</v>
      </c>
      <c r="O407">
        <f t="shared" si="341"/>
        <v>575.13</v>
      </c>
      <c r="P407">
        <f t="shared" si="342"/>
        <v>2.0699999999999998</v>
      </c>
      <c r="Q407">
        <f t="shared" si="343"/>
        <v>134.13</v>
      </c>
      <c r="R407">
        <f t="shared" si="344"/>
        <v>72.75</v>
      </c>
      <c r="S407">
        <f t="shared" si="345"/>
        <v>438.93</v>
      </c>
      <c r="T407">
        <f t="shared" si="346"/>
        <v>0</v>
      </c>
      <c r="U407">
        <f t="shared" si="347"/>
        <v>0.72</v>
      </c>
      <c r="V407">
        <f t="shared" si="348"/>
        <v>0</v>
      </c>
      <c r="W407">
        <f t="shared" si="349"/>
        <v>0</v>
      </c>
      <c r="X407">
        <f t="shared" si="350"/>
        <v>307.25</v>
      </c>
      <c r="Y407">
        <f t="shared" si="351"/>
        <v>43.89</v>
      </c>
      <c r="AA407">
        <v>1407491423</v>
      </c>
      <c r="AB407">
        <f t="shared" si="352"/>
        <v>575.13</v>
      </c>
      <c r="AC407">
        <f>ROUND(((ES407*3)),6)</f>
        <v>2.0699999999999998</v>
      </c>
      <c r="AD407">
        <f>ROUND(((((ET407*3))-((EU407*3)))+AE407),6)</f>
        <v>134.13</v>
      </c>
      <c r="AE407">
        <f>ROUND(((EU407*3)),6)</f>
        <v>72.75</v>
      </c>
      <c r="AF407">
        <f>ROUND(((EV407*3)),6)</f>
        <v>438.93</v>
      </c>
      <c r="AG407">
        <f t="shared" si="353"/>
        <v>0</v>
      </c>
      <c r="AH407">
        <f>((EW407*3))</f>
        <v>0.72</v>
      </c>
      <c r="AI407">
        <f>((EX407*3))</f>
        <v>0</v>
      </c>
      <c r="AJ407">
        <f t="shared" si="354"/>
        <v>0</v>
      </c>
      <c r="AK407">
        <v>191.71</v>
      </c>
      <c r="AL407">
        <v>0.69</v>
      </c>
      <c r="AM407">
        <v>44.71</v>
      </c>
      <c r="AN407">
        <v>24.25</v>
      </c>
      <c r="AO407">
        <v>146.31</v>
      </c>
      <c r="AP407">
        <v>0</v>
      </c>
      <c r="AQ407">
        <v>0.24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396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55"/>
        <v>575.13</v>
      </c>
      <c r="CQ407">
        <f t="shared" si="356"/>
        <v>2.0699999999999998</v>
      </c>
      <c r="CR407">
        <f>(((((ET407*3))*BB407-((EU407*3))*BS407)+AE407*BS407)*AV407)</f>
        <v>134.13</v>
      </c>
      <c r="CS407">
        <f t="shared" si="357"/>
        <v>72.75</v>
      </c>
      <c r="CT407">
        <f t="shared" si="358"/>
        <v>438.93</v>
      </c>
      <c r="CU407">
        <f t="shared" si="359"/>
        <v>0</v>
      </c>
      <c r="CV407">
        <f t="shared" si="360"/>
        <v>0.72</v>
      </c>
      <c r="CW407">
        <f t="shared" si="361"/>
        <v>0</v>
      </c>
      <c r="CX407">
        <f t="shared" si="362"/>
        <v>0</v>
      </c>
      <c r="CY407">
        <f t="shared" si="363"/>
        <v>307.25100000000003</v>
      </c>
      <c r="CZ407">
        <f t="shared" si="364"/>
        <v>43.893000000000001</v>
      </c>
      <c r="DC407" t="s">
        <v>3</v>
      </c>
      <c r="DD407" t="s">
        <v>69</v>
      </c>
      <c r="DE407" t="s">
        <v>69</v>
      </c>
      <c r="DF407" t="s">
        <v>69</v>
      </c>
      <c r="DG407" t="s">
        <v>69</v>
      </c>
      <c r="DH407" t="s">
        <v>3</v>
      </c>
      <c r="DI407" t="s">
        <v>69</v>
      </c>
      <c r="DJ407" t="s">
        <v>69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16987630</v>
      </c>
      <c r="DV407" t="s">
        <v>42</v>
      </c>
      <c r="DW407" t="s">
        <v>42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1364533919</v>
      </c>
      <c r="EF407">
        <v>1</v>
      </c>
      <c r="EG407" t="s">
        <v>21</v>
      </c>
      <c r="EH407">
        <v>0</v>
      </c>
      <c r="EI407" t="s">
        <v>3</v>
      </c>
      <c r="EJ407">
        <v>4</v>
      </c>
      <c r="EK407">
        <v>0</v>
      </c>
      <c r="EL407" t="s">
        <v>22</v>
      </c>
      <c r="EM407" t="s">
        <v>23</v>
      </c>
      <c r="EO407" t="s">
        <v>3</v>
      </c>
      <c r="EQ407">
        <v>0</v>
      </c>
      <c r="ER407">
        <v>191.71</v>
      </c>
      <c r="ES407">
        <v>0.69</v>
      </c>
      <c r="ET407">
        <v>44.71</v>
      </c>
      <c r="EU407">
        <v>24.25</v>
      </c>
      <c r="EV407">
        <v>146.31</v>
      </c>
      <c r="EW407">
        <v>0.24</v>
      </c>
      <c r="EX407">
        <v>0</v>
      </c>
      <c r="EY407">
        <v>0</v>
      </c>
      <c r="FQ407">
        <v>0</v>
      </c>
      <c r="FR407">
        <f t="shared" si="365"/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-183603286</v>
      </c>
      <c r="GG407">
        <v>2</v>
      </c>
      <c r="GH407">
        <v>1</v>
      </c>
      <c r="GI407">
        <v>-2</v>
      </c>
      <c r="GJ407">
        <v>0</v>
      </c>
      <c r="GK407">
        <f>ROUND(R407*(R12)/100,2)</f>
        <v>78.569999999999993</v>
      </c>
      <c r="GL407">
        <f t="shared" si="366"/>
        <v>0</v>
      </c>
      <c r="GM407">
        <f t="shared" si="367"/>
        <v>1004.84</v>
      </c>
      <c r="GN407">
        <f t="shared" si="368"/>
        <v>0</v>
      </c>
      <c r="GO407">
        <f t="shared" si="369"/>
        <v>0</v>
      </c>
      <c r="GP407">
        <f t="shared" si="370"/>
        <v>1004.84</v>
      </c>
      <c r="GR407">
        <v>0</v>
      </c>
      <c r="GS407">
        <v>3</v>
      </c>
      <c r="GT407">
        <v>0</v>
      </c>
      <c r="GU407" t="s">
        <v>3</v>
      </c>
      <c r="GV407">
        <f t="shared" si="371"/>
        <v>0</v>
      </c>
      <c r="GW407">
        <v>1</v>
      </c>
      <c r="GX407">
        <f t="shared" si="372"/>
        <v>0</v>
      </c>
      <c r="HA407">
        <v>0</v>
      </c>
      <c r="HB407">
        <v>0</v>
      </c>
      <c r="HC407">
        <f t="shared" si="373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D408">
        <f>ROW(EtalonRes!A252)</f>
        <v>252</v>
      </c>
      <c r="E408" t="s">
        <v>175</v>
      </c>
      <c r="F408" t="s">
        <v>397</v>
      </c>
      <c r="G408" t="s">
        <v>398</v>
      </c>
      <c r="H408" t="s">
        <v>42</v>
      </c>
      <c r="I408">
        <v>4</v>
      </c>
      <c r="J408">
        <v>0</v>
      </c>
      <c r="K408">
        <v>4</v>
      </c>
      <c r="O408">
        <f t="shared" si="341"/>
        <v>78150.320000000007</v>
      </c>
      <c r="P408">
        <f t="shared" si="342"/>
        <v>0</v>
      </c>
      <c r="Q408">
        <f t="shared" si="343"/>
        <v>0</v>
      </c>
      <c r="R408">
        <f t="shared" si="344"/>
        <v>0</v>
      </c>
      <c r="S408">
        <f t="shared" si="345"/>
        <v>78150.320000000007</v>
      </c>
      <c r="T408">
        <f t="shared" si="346"/>
        <v>0</v>
      </c>
      <c r="U408">
        <f t="shared" si="347"/>
        <v>109.68</v>
      </c>
      <c r="V408">
        <f t="shared" si="348"/>
        <v>0</v>
      </c>
      <c r="W408">
        <f t="shared" si="349"/>
        <v>0</v>
      </c>
      <c r="X408">
        <f t="shared" si="350"/>
        <v>54705.22</v>
      </c>
      <c r="Y408">
        <f t="shared" si="351"/>
        <v>7815.03</v>
      </c>
      <c r="AA408">
        <v>1407491423</v>
      </c>
      <c r="AB408">
        <f t="shared" si="352"/>
        <v>19537.580000000002</v>
      </c>
      <c r="AC408">
        <f>ROUND(((ES408*2)),6)</f>
        <v>0</v>
      </c>
      <c r="AD408">
        <f>ROUND(((((ET408*2))-((EU408*2)))+AE408),6)</f>
        <v>0</v>
      </c>
      <c r="AE408">
        <f t="shared" ref="AE408:AF410" si="374">ROUND(((EU408*2)),6)</f>
        <v>0</v>
      </c>
      <c r="AF408">
        <f t="shared" si="374"/>
        <v>19537.580000000002</v>
      </c>
      <c r="AG408">
        <f t="shared" si="353"/>
        <v>0</v>
      </c>
      <c r="AH408">
        <f t="shared" ref="AH408:AI410" si="375">((EW408*2))</f>
        <v>27.42</v>
      </c>
      <c r="AI408">
        <f t="shared" si="375"/>
        <v>0</v>
      </c>
      <c r="AJ408">
        <f t="shared" si="354"/>
        <v>0</v>
      </c>
      <c r="AK408">
        <v>9768.7900000000009</v>
      </c>
      <c r="AL408">
        <v>0</v>
      </c>
      <c r="AM408">
        <v>0</v>
      </c>
      <c r="AN408">
        <v>0</v>
      </c>
      <c r="AO408">
        <v>9768.7900000000009</v>
      </c>
      <c r="AP408">
        <v>0</v>
      </c>
      <c r="AQ408">
        <v>13.71</v>
      </c>
      <c r="AR408">
        <v>0</v>
      </c>
      <c r="AS408">
        <v>0</v>
      </c>
      <c r="AT408">
        <v>70</v>
      </c>
      <c r="AU408">
        <v>10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1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4</v>
      </c>
      <c r="BJ408" t="s">
        <v>399</v>
      </c>
      <c r="BM408">
        <v>0</v>
      </c>
      <c r="BN408">
        <v>0</v>
      </c>
      <c r="BO408" t="s">
        <v>3</v>
      </c>
      <c r="BP408">
        <v>0</v>
      </c>
      <c r="BQ408">
        <v>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70</v>
      </c>
      <c r="CA408">
        <v>10</v>
      </c>
      <c r="CB408" t="s">
        <v>3</v>
      </c>
      <c r="CE408">
        <v>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55"/>
        <v>78150.320000000007</v>
      </c>
      <c r="CQ408">
        <f t="shared" si="356"/>
        <v>0</v>
      </c>
      <c r="CR408">
        <f>(((((ET408*2))*BB408-((EU408*2))*BS408)+AE408*BS408)*AV408)</f>
        <v>0</v>
      </c>
      <c r="CS408">
        <f t="shared" si="357"/>
        <v>0</v>
      </c>
      <c r="CT408">
        <f t="shared" si="358"/>
        <v>19537.580000000002</v>
      </c>
      <c r="CU408">
        <f t="shared" si="359"/>
        <v>0</v>
      </c>
      <c r="CV408">
        <f t="shared" si="360"/>
        <v>27.42</v>
      </c>
      <c r="CW408">
        <f t="shared" si="361"/>
        <v>0</v>
      </c>
      <c r="CX408">
        <f t="shared" si="362"/>
        <v>0</v>
      </c>
      <c r="CY408">
        <f t="shared" si="363"/>
        <v>54705.224000000002</v>
      </c>
      <c r="CZ408">
        <f t="shared" si="364"/>
        <v>7815.0320000000011</v>
      </c>
      <c r="DC408" t="s">
        <v>3</v>
      </c>
      <c r="DD408" t="s">
        <v>52</v>
      </c>
      <c r="DE408" t="s">
        <v>52</v>
      </c>
      <c r="DF408" t="s">
        <v>52</v>
      </c>
      <c r="DG408" t="s">
        <v>52</v>
      </c>
      <c r="DH408" t="s">
        <v>3</v>
      </c>
      <c r="DI408" t="s">
        <v>52</v>
      </c>
      <c r="DJ408" t="s">
        <v>52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16987630</v>
      </c>
      <c r="DV408" t="s">
        <v>42</v>
      </c>
      <c r="DW408" t="s">
        <v>42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1364533919</v>
      </c>
      <c r="EF408">
        <v>1</v>
      </c>
      <c r="EG408" t="s">
        <v>21</v>
      </c>
      <c r="EH408">
        <v>0</v>
      </c>
      <c r="EI408" t="s">
        <v>3</v>
      </c>
      <c r="EJ408">
        <v>4</v>
      </c>
      <c r="EK408">
        <v>0</v>
      </c>
      <c r="EL408" t="s">
        <v>22</v>
      </c>
      <c r="EM408" t="s">
        <v>23</v>
      </c>
      <c r="EO408" t="s">
        <v>3</v>
      </c>
      <c r="EQ408">
        <v>0</v>
      </c>
      <c r="ER408">
        <v>9768.7900000000009</v>
      </c>
      <c r="ES408">
        <v>0</v>
      </c>
      <c r="ET408">
        <v>0</v>
      </c>
      <c r="EU408">
        <v>0</v>
      </c>
      <c r="EV408">
        <v>9768.7900000000009</v>
      </c>
      <c r="EW408">
        <v>13.71</v>
      </c>
      <c r="EX408">
        <v>0</v>
      </c>
      <c r="EY408">
        <v>0</v>
      </c>
      <c r="FQ408">
        <v>0</v>
      </c>
      <c r="FR408">
        <f t="shared" si="365"/>
        <v>0</v>
      </c>
      <c r="FS408">
        <v>0</v>
      </c>
      <c r="FX408">
        <v>70</v>
      </c>
      <c r="FY408">
        <v>10</v>
      </c>
      <c r="GA408" t="s">
        <v>3</v>
      </c>
      <c r="GD408">
        <v>0</v>
      </c>
      <c r="GF408">
        <v>2056588010</v>
      </c>
      <c r="GG408">
        <v>2</v>
      </c>
      <c r="GH408">
        <v>1</v>
      </c>
      <c r="GI408">
        <v>-2</v>
      </c>
      <c r="GJ408">
        <v>0</v>
      </c>
      <c r="GK408">
        <f>ROUND(R408*(R12)/100,2)</f>
        <v>0</v>
      </c>
      <c r="GL408">
        <f t="shared" si="366"/>
        <v>0</v>
      </c>
      <c r="GM408">
        <f t="shared" si="367"/>
        <v>140670.57</v>
      </c>
      <c r="GN408">
        <f t="shared" si="368"/>
        <v>0</v>
      </c>
      <c r="GO408">
        <f t="shared" si="369"/>
        <v>0</v>
      </c>
      <c r="GP408">
        <f t="shared" si="370"/>
        <v>140670.57</v>
      </c>
      <c r="GR408">
        <v>0</v>
      </c>
      <c r="GS408">
        <v>3</v>
      </c>
      <c r="GT408">
        <v>0</v>
      </c>
      <c r="GU408" t="s">
        <v>3</v>
      </c>
      <c r="GV408">
        <f t="shared" si="371"/>
        <v>0</v>
      </c>
      <c r="GW408">
        <v>1</v>
      </c>
      <c r="GX408">
        <f t="shared" si="372"/>
        <v>0</v>
      </c>
      <c r="HA408">
        <v>0</v>
      </c>
      <c r="HB408">
        <v>0</v>
      </c>
      <c r="HC408">
        <f t="shared" si="373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D409">
        <f>ROW(EtalonRes!A256)</f>
        <v>256</v>
      </c>
      <c r="E409" t="s">
        <v>176</v>
      </c>
      <c r="F409" t="s">
        <v>337</v>
      </c>
      <c r="G409" t="s">
        <v>338</v>
      </c>
      <c r="H409" t="s">
        <v>42</v>
      </c>
      <c r="I409">
        <v>7</v>
      </c>
      <c r="J409">
        <v>0</v>
      </c>
      <c r="K409">
        <v>7</v>
      </c>
      <c r="O409">
        <f t="shared" si="341"/>
        <v>4239.2</v>
      </c>
      <c r="P409">
        <f t="shared" si="342"/>
        <v>227.92</v>
      </c>
      <c r="Q409">
        <f t="shared" si="343"/>
        <v>0</v>
      </c>
      <c r="R409">
        <f t="shared" si="344"/>
        <v>0</v>
      </c>
      <c r="S409">
        <f t="shared" si="345"/>
        <v>4011.28</v>
      </c>
      <c r="T409">
        <f t="shared" si="346"/>
        <v>0</v>
      </c>
      <c r="U409">
        <f t="shared" si="347"/>
        <v>6.58</v>
      </c>
      <c r="V409">
        <f t="shared" si="348"/>
        <v>0</v>
      </c>
      <c r="W409">
        <f t="shared" si="349"/>
        <v>0</v>
      </c>
      <c r="X409">
        <f t="shared" si="350"/>
        <v>2807.9</v>
      </c>
      <c r="Y409">
        <f t="shared" si="351"/>
        <v>401.13</v>
      </c>
      <c r="AA409">
        <v>1407491423</v>
      </c>
      <c r="AB409">
        <f t="shared" si="352"/>
        <v>605.6</v>
      </c>
      <c r="AC409">
        <f>ROUND(((ES409*2)),6)</f>
        <v>32.56</v>
      </c>
      <c r="AD409">
        <f>ROUND(((((ET409*2))-((EU409*2)))+AE409),6)</f>
        <v>0</v>
      </c>
      <c r="AE409">
        <f t="shared" si="374"/>
        <v>0</v>
      </c>
      <c r="AF409">
        <f t="shared" si="374"/>
        <v>573.04</v>
      </c>
      <c r="AG409">
        <f t="shared" si="353"/>
        <v>0</v>
      </c>
      <c r="AH409">
        <f t="shared" si="375"/>
        <v>0.94</v>
      </c>
      <c r="AI409">
        <f t="shared" si="375"/>
        <v>0</v>
      </c>
      <c r="AJ409">
        <f t="shared" si="354"/>
        <v>0</v>
      </c>
      <c r="AK409">
        <v>302.8</v>
      </c>
      <c r="AL409">
        <v>16.28</v>
      </c>
      <c r="AM409">
        <v>0</v>
      </c>
      <c r="AN409">
        <v>0</v>
      </c>
      <c r="AO409">
        <v>286.52</v>
      </c>
      <c r="AP409">
        <v>0</v>
      </c>
      <c r="AQ409">
        <v>0.47</v>
      </c>
      <c r="AR409">
        <v>0</v>
      </c>
      <c r="AS409">
        <v>0</v>
      </c>
      <c r="AT409">
        <v>70</v>
      </c>
      <c r="AU409">
        <v>10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4</v>
      </c>
      <c r="BJ409" t="s">
        <v>339</v>
      </c>
      <c r="BM409">
        <v>0</v>
      </c>
      <c r="BN409">
        <v>0</v>
      </c>
      <c r="BO409" t="s">
        <v>3</v>
      </c>
      <c r="BP409">
        <v>0</v>
      </c>
      <c r="BQ409">
        <v>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70</v>
      </c>
      <c r="CA409">
        <v>10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55"/>
        <v>4239.2</v>
      </c>
      <c r="CQ409">
        <f t="shared" si="356"/>
        <v>32.56</v>
      </c>
      <c r="CR409">
        <f>(((((ET409*2))*BB409-((EU409*2))*BS409)+AE409*BS409)*AV409)</f>
        <v>0</v>
      </c>
      <c r="CS409">
        <f t="shared" si="357"/>
        <v>0</v>
      </c>
      <c r="CT409">
        <f t="shared" si="358"/>
        <v>573.04</v>
      </c>
      <c r="CU409">
        <f t="shared" si="359"/>
        <v>0</v>
      </c>
      <c r="CV409">
        <f t="shared" si="360"/>
        <v>0.94</v>
      </c>
      <c r="CW409">
        <f t="shared" si="361"/>
        <v>0</v>
      </c>
      <c r="CX409">
        <f t="shared" si="362"/>
        <v>0</v>
      </c>
      <c r="CY409">
        <f t="shared" si="363"/>
        <v>2807.8960000000002</v>
      </c>
      <c r="CZ409">
        <f t="shared" si="364"/>
        <v>401.12800000000004</v>
      </c>
      <c r="DC409" t="s">
        <v>3</v>
      </c>
      <c r="DD409" t="s">
        <v>52</v>
      </c>
      <c r="DE409" t="s">
        <v>52</v>
      </c>
      <c r="DF409" t="s">
        <v>52</v>
      </c>
      <c r="DG409" t="s">
        <v>52</v>
      </c>
      <c r="DH409" t="s">
        <v>3</v>
      </c>
      <c r="DI409" t="s">
        <v>52</v>
      </c>
      <c r="DJ409" t="s">
        <v>52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16987630</v>
      </c>
      <c r="DV409" t="s">
        <v>42</v>
      </c>
      <c r="DW409" t="s">
        <v>42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1364533919</v>
      </c>
      <c r="EF409">
        <v>1</v>
      </c>
      <c r="EG409" t="s">
        <v>21</v>
      </c>
      <c r="EH409">
        <v>0</v>
      </c>
      <c r="EI409" t="s">
        <v>3</v>
      </c>
      <c r="EJ409">
        <v>4</v>
      </c>
      <c r="EK409">
        <v>0</v>
      </c>
      <c r="EL409" t="s">
        <v>22</v>
      </c>
      <c r="EM409" t="s">
        <v>23</v>
      </c>
      <c r="EO409" t="s">
        <v>3</v>
      </c>
      <c r="EQ409">
        <v>0</v>
      </c>
      <c r="ER409">
        <v>302.8</v>
      </c>
      <c r="ES409">
        <v>16.28</v>
      </c>
      <c r="ET409">
        <v>0</v>
      </c>
      <c r="EU409">
        <v>0</v>
      </c>
      <c r="EV409">
        <v>286.52</v>
      </c>
      <c r="EW409">
        <v>0.47</v>
      </c>
      <c r="EX409">
        <v>0</v>
      </c>
      <c r="EY409">
        <v>0</v>
      </c>
      <c r="FQ409">
        <v>0</v>
      </c>
      <c r="FR409">
        <f t="shared" si="365"/>
        <v>0</v>
      </c>
      <c r="FS409">
        <v>0</v>
      </c>
      <c r="FX409">
        <v>70</v>
      </c>
      <c r="FY409">
        <v>10</v>
      </c>
      <c r="GA409" t="s">
        <v>3</v>
      </c>
      <c r="GD409">
        <v>0</v>
      </c>
      <c r="GF409">
        <v>-2017358860</v>
      </c>
      <c r="GG409">
        <v>2</v>
      </c>
      <c r="GH409">
        <v>1</v>
      </c>
      <c r="GI409">
        <v>-2</v>
      </c>
      <c r="GJ409">
        <v>0</v>
      </c>
      <c r="GK409">
        <f>ROUND(R409*(R12)/100,2)</f>
        <v>0</v>
      </c>
      <c r="GL409">
        <f t="shared" si="366"/>
        <v>0</v>
      </c>
      <c r="GM409">
        <f t="shared" si="367"/>
        <v>7448.23</v>
      </c>
      <c r="GN409">
        <f t="shared" si="368"/>
        <v>0</v>
      </c>
      <c r="GO409">
        <f t="shared" si="369"/>
        <v>0</v>
      </c>
      <c r="GP409">
        <f t="shared" si="370"/>
        <v>7448.23</v>
      </c>
      <c r="GR409">
        <v>0</v>
      </c>
      <c r="GS409">
        <v>3</v>
      </c>
      <c r="GT409">
        <v>0</v>
      </c>
      <c r="GU409" t="s">
        <v>3</v>
      </c>
      <c r="GV409">
        <f t="shared" si="371"/>
        <v>0</v>
      </c>
      <c r="GW409">
        <v>1</v>
      </c>
      <c r="GX409">
        <f t="shared" si="372"/>
        <v>0</v>
      </c>
      <c r="HA409">
        <v>0</v>
      </c>
      <c r="HB409">
        <v>0</v>
      </c>
      <c r="HC409">
        <f t="shared" si="373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D410">
        <f>ROW(EtalonRes!A259)</f>
        <v>259</v>
      </c>
      <c r="E410" t="s">
        <v>180</v>
      </c>
      <c r="F410" t="s">
        <v>340</v>
      </c>
      <c r="G410" t="s">
        <v>341</v>
      </c>
      <c r="H410" t="s">
        <v>37</v>
      </c>
      <c r="I410">
        <f>ROUND(6/10,9)</f>
        <v>0.6</v>
      </c>
      <c r="J410">
        <v>0</v>
      </c>
      <c r="K410">
        <f>ROUND(6/10,9)</f>
        <v>0.6</v>
      </c>
      <c r="O410">
        <f t="shared" si="341"/>
        <v>9162.94</v>
      </c>
      <c r="P410">
        <f t="shared" si="342"/>
        <v>18.64</v>
      </c>
      <c r="Q410">
        <f t="shared" si="343"/>
        <v>0</v>
      </c>
      <c r="R410">
        <f t="shared" si="344"/>
        <v>0</v>
      </c>
      <c r="S410">
        <f t="shared" si="345"/>
        <v>9144.2999999999993</v>
      </c>
      <c r="T410">
        <f t="shared" si="346"/>
        <v>0</v>
      </c>
      <c r="U410">
        <f t="shared" si="347"/>
        <v>15</v>
      </c>
      <c r="V410">
        <f t="shared" si="348"/>
        <v>0</v>
      </c>
      <c r="W410">
        <f t="shared" si="349"/>
        <v>0</v>
      </c>
      <c r="X410">
        <f t="shared" si="350"/>
        <v>6401.01</v>
      </c>
      <c r="Y410">
        <f t="shared" si="351"/>
        <v>914.43</v>
      </c>
      <c r="AA410">
        <v>1407491423</v>
      </c>
      <c r="AB410">
        <f t="shared" si="352"/>
        <v>15271.56</v>
      </c>
      <c r="AC410">
        <f>ROUND(((ES410*2)),6)</f>
        <v>31.06</v>
      </c>
      <c r="AD410">
        <f>ROUND(((((ET410*2))-((EU410*2)))+AE410),6)</f>
        <v>0</v>
      </c>
      <c r="AE410">
        <f t="shared" si="374"/>
        <v>0</v>
      </c>
      <c r="AF410">
        <f t="shared" si="374"/>
        <v>15240.5</v>
      </c>
      <c r="AG410">
        <f t="shared" si="353"/>
        <v>0</v>
      </c>
      <c r="AH410">
        <f t="shared" si="375"/>
        <v>25</v>
      </c>
      <c r="AI410">
        <f t="shared" si="375"/>
        <v>0</v>
      </c>
      <c r="AJ410">
        <f t="shared" si="354"/>
        <v>0</v>
      </c>
      <c r="AK410">
        <v>7635.78</v>
      </c>
      <c r="AL410">
        <v>15.53</v>
      </c>
      <c r="AM410">
        <v>0</v>
      </c>
      <c r="AN410">
        <v>0</v>
      </c>
      <c r="AO410">
        <v>7620.25</v>
      </c>
      <c r="AP410">
        <v>0</v>
      </c>
      <c r="AQ410">
        <v>12.5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342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55"/>
        <v>9162.9399999999987</v>
      </c>
      <c r="CQ410">
        <f t="shared" si="356"/>
        <v>31.06</v>
      </c>
      <c r="CR410">
        <f>(((((ET410*2))*BB410-((EU410*2))*BS410)+AE410*BS410)*AV410)</f>
        <v>0</v>
      </c>
      <c r="CS410">
        <f t="shared" si="357"/>
        <v>0</v>
      </c>
      <c r="CT410">
        <f t="shared" si="358"/>
        <v>15240.5</v>
      </c>
      <c r="CU410">
        <f t="shared" si="359"/>
        <v>0</v>
      </c>
      <c r="CV410">
        <f t="shared" si="360"/>
        <v>25</v>
      </c>
      <c r="CW410">
        <f t="shared" si="361"/>
        <v>0</v>
      </c>
      <c r="CX410">
        <f t="shared" si="362"/>
        <v>0</v>
      </c>
      <c r="CY410">
        <f t="shared" si="363"/>
        <v>6401.01</v>
      </c>
      <c r="CZ410">
        <f t="shared" si="364"/>
        <v>914.43</v>
      </c>
      <c r="DC410" t="s">
        <v>3</v>
      </c>
      <c r="DD410" t="s">
        <v>52</v>
      </c>
      <c r="DE410" t="s">
        <v>52</v>
      </c>
      <c r="DF410" t="s">
        <v>52</v>
      </c>
      <c r="DG410" t="s">
        <v>52</v>
      </c>
      <c r="DH410" t="s">
        <v>3</v>
      </c>
      <c r="DI410" t="s">
        <v>52</v>
      </c>
      <c r="DJ410" t="s">
        <v>52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16987630</v>
      </c>
      <c r="DV410" t="s">
        <v>37</v>
      </c>
      <c r="DW410" t="s">
        <v>37</v>
      </c>
      <c r="DX410">
        <v>10</v>
      </c>
      <c r="DZ410" t="s">
        <v>3</v>
      </c>
      <c r="EA410" t="s">
        <v>3</v>
      </c>
      <c r="EB410" t="s">
        <v>3</v>
      </c>
      <c r="EC410" t="s">
        <v>3</v>
      </c>
      <c r="EE410">
        <v>1364533919</v>
      </c>
      <c r="EF410">
        <v>1</v>
      </c>
      <c r="EG410" t="s">
        <v>21</v>
      </c>
      <c r="EH410">
        <v>0</v>
      </c>
      <c r="EI410" t="s">
        <v>3</v>
      </c>
      <c r="EJ410">
        <v>4</v>
      </c>
      <c r="EK410">
        <v>0</v>
      </c>
      <c r="EL410" t="s">
        <v>22</v>
      </c>
      <c r="EM410" t="s">
        <v>23</v>
      </c>
      <c r="EO410" t="s">
        <v>3</v>
      </c>
      <c r="EQ410">
        <v>0</v>
      </c>
      <c r="ER410">
        <v>7635.78</v>
      </c>
      <c r="ES410">
        <v>15.53</v>
      </c>
      <c r="ET410">
        <v>0</v>
      </c>
      <c r="EU410">
        <v>0</v>
      </c>
      <c r="EV410">
        <v>7620.25</v>
      </c>
      <c r="EW410">
        <v>12.5</v>
      </c>
      <c r="EX410">
        <v>0</v>
      </c>
      <c r="EY410">
        <v>0</v>
      </c>
      <c r="FQ410">
        <v>0</v>
      </c>
      <c r="FR410">
        <f t="shared" si="365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-298136700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</v>
      </c>
      <c r="GL410">
        <f t="shared" si="366"/>
        <v>0</v>
      </c>
      <c r="GM410">
        <f t="shared" si="367"/>
        <v>16478.38</v>
      </c>
      <c r="GN410">
        <f t="shared" si="368"/>
        <v>0</v>
      </c>
      <c r="GO410">
        <f t="shared" si="369"/>
        <v>0</v>
      </c>
      <c r="GP410">
        <f t="shared" si="370"/>
        <v>16478.38</v>
      </c>
      <c r="GR410">
        <v>0</v>
      </c>
      <c r="GS410">
        <v>3</v>
      </c>
      <c r="GT410">
        <v>0</v>
      </c>
      <c r="GU410" t="s">
        <v>3</v>
      </c>
      <c r="GV410">
        <f t="shared" si="371"/>
        <v>0</v>
      </c>
      <c r="GW410">
        <v>1</v>
      </c>
      <c r="GX410">
        <f t="shared" si="372"/>
        <v>0</v>
      </c>
      <c r="HA410">
        <v>0</v>
      </c>
      <c r="HB410">
        <v>0</v>
      </c>
      <c r="HC410">
        <f t="shared" si="373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ROW(EtalonRes!A261)</f>
        <v>261</v>
      </c>
      <c r="E411" t="s">
        <v>188</v>
      </c>
      <c r="F411" t="s">
        <v>354</v>
      </c>
      <c r="G411" t="s">
        <v>355</v>
      </c>
      <c r="H411" t="s">
        <v>42</v>
      </c>
      <c r="I411">
        <v>2</v>
      </c>
      <c r="J411">
        <v>0</v>
      </c>
      <c r="K411">
        <v>2</v>
      </c>
      <c r="O411">
        <f t="shared" si="341"/>
        <v>1045.04</v>
      </c>
      <c r="P411">
        <f t="shared" si="342"/>
        <v>0.08</v>
      </c>
      <c r="Q411">
        <f t="shared" si="343"/>
        <v>0</v>
      </c>
      <c r="R411">
        <f t="shared" si="344"/>
        <v>0</v>
      </c>
      <c r="S411">
        <f t="shared" si="345"/>
        <v>1044.96</v>
      </c>
      <c r="T411">
        <f t="shared" si="346"/>
        <v>0</v>
      </c>
      <c r="U411">
        <f t="shared" si="347"/>
        <v>2.4</v>
      </c>
      <c r="V411">
        <f t="shared" si="348"/>
        <v>0</v>
      </c>
      <c r="W411">
        <f t="shared" si="349"/>
        <v>0</v>
      </c>
      <c r="X411">
        <f t="shared" si="350"/>
        <v>731.47</v>
      </c>
      <c r="Y411">
        <f t="shared" si="351"/>
        <v>104.5</v>
      </c>
      <c r="AA411">
        <v>1407491423</v>
      </c>
      <c r="AB411">
        <f t="shared" si="352"/>
        <v>522.52</v>
      </c>
      <c r="AC411">
        <f>ROUND(((ES411*4)),6)</f>
        <v>0.04</v>
      </c>
      <c r="AD411">
        <f>ROUND(((((ET411*4))-((EU411*4)))+AE411),6)</f>
        <v>0</v>
      </c>
      <c r="AE411">
        <f>ROUND(((EU411*4)),6)</f>
        <v>0</v>
      </c>
      <c r="AF411">
        <f>ROUND(((EV411*4)),6)</f>
        <v>522.48</v>
      </c>
      <c r="AG411">
        <f t="shared" si="353"/>
        <v>0</v>
      </c>
      <c r="AH411">
        <f>((EW411*4))</f>
        <v>1.2</v>
      </c>
      <c r="AI411">
        <f>((EX411*4))</f>
        <v>0</v>
      </c>
      <c r="AJ411">
        <f t="shared" si="354"/>
        <v>0</v>
      </c>
      <c r="AK411">
        <v>130.63</v>
      </c>
      <c r="AL411">
        <v>0.01</v>
      </c>
      <c r="AM411">
        <v>0</v>
      </c>
      <c r="AN411">
        <v>0</v>
      </c>
      <c r="AO411">
        <v>130.62</v>
      </c>
      <c r="AP411">
        <v>0</v>
      </c>
      <c r="AQ411">
        <v>0.3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356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55"/>
        <v>1045.04</v>
      </c>
      <c r="CQ411">
        <f t="shared" si="356"/>
        <v>0.04</v>
      </c>
      <c r="CR411">
        <f>(((((ET411*4))*BB411-((EU411*4))*BS411)+AE411*BS411)*AV411)</f>
        <v>0</v>
      </c>
      <c r="CS411">
        <f t="shared" si="357"/>
        <v>0</v>
      </c>
      <c r="CT411">
        <f t="shared" si="358"/>
        <v>522.48</v>
      </c>
      <c r="CU411">
        <f t="shared" si="359"/>
        <v>0</v>
      </c>
      <c r="CV411">
        <f t="shared" si="360"/>
        <v>1.2</v>
      </c>
      <c r="CW411">
        <f t="shared" si="361"/>
        <v>0</v>
      </c>
      <c r="CX411">
        <f t="shared" si="362"/>
        <v>0</v>
      </c>
      <c r="CY411">
        <f t="shared" si="363"/>
        <v>731.47199999999998</v>
      </c>
      <c r="CZ411">
        <f t="shared" si="364"/>
        <v>104.49600000000001</v>
      </c>
      <c r="DC411" t="s">
        <v>3</v>
      </c>
      <c r="DD411" t="s">
        <v>20</v>
      </c>
      <c r="DE411" t="s">
        <v>20</v>
      </c>
      <c r="DF411" t="s">
        <v>20</v>
      </c>
      <c r="DG411" t="s">
        <v>20</v>
      </c>
      <c r="DH411" t="s">
        <v>3</v>
      </c>
      <c r="DI411" t="s">
        <v>20</v>
      </c>
      <c r="DJ411" t="s">
        <v>20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16987630</v>
      </c>
      <c r="DV411" t="s">
        <v>42</v>
      </c>
      <c r="DW411" t="s">
        <v>42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1364533919</v>
      </c>
      <c r="EF411">
        <v>1</v>
      </c>
      <c r="EG411" t="s">
        <v>21</v>
      </c>
      <c r="EH411">
        <v>0</v>
      </c>
      <c r="EI411" t="s">
        <v>3</v>
      </c>
      <c r="EJ411">
        <v>4</v>
      </c>
      <c r="EK411">
        <v>0</v>
      </c>
      <c r="EL411" t="s">
        <v>22</v>
      </c>
      <c r="EM411" t="s">
        <v>23</v>
      </c>
      <c r="EO411" t="s">
        <v>3</v>
      </c>
      <c r="EQ411">
        <v>0</v>
      </c>
      <c r="ER411">
        <v>130.63</v>
      </c>
      <c r="ES411">
        <v>0.01</v>
      </c>
      <c r="ET411">
        <v>0</v>
      </c>
      <c r="EU411">
        <v>0</v>
      </c>
      <c r="EV411">
        <v>130.62</v>
      </c>
      <c r="EW411">
        <v>0.3</v>
      </c>
      <c r="EX411">
        <v>0</v>
      </c>
      <c r="EY411">
        <v>0</v>
      </c>
      <c r="FQ411">
        <v>0</v>
      </c>
      <c r="FR411">
        <f t="shared" si="365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-60921149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366"/>
        <v>0</v>
      </c>
      <c r="GM411">
        <f t="shared" si="367"/>
        <v>1881.01</v>
      </c>
      <c r="GN411">
        <f t="shared" si="368"/>
        <v>0</v>
      </c>
      <c r="GO411">
        <f t="shared" si="369"/>
        <v>0</v>
      </c>
      <c r="GP411">
        <f t="shared" si="370"/>
        <v>1881.01</v>
      </c>
      <c r="GR411">
        <v>0</v>
      </c>
      <c r="GS411">
        <v>3</v>
      </c>
      <c r="GT411">
        <v>0</v>
      </c>
      <c r="GU411" t="s">
        <v>3</v>
      </c>
      <c r="GV411">
        <f t="shared" si="371"/>
        <v>0</v>
      </c>
      <c r="GW411">
        <v>1</v>
      </c>
      <c r="GX411">
        <f t="shared" si="372"/>
        <v>0</v>
      </c>
      <c r="HA411">
        <v>0</v>
      </c>
      <c r="HB411">
        <v>0</v>
      </c>
      <c r="HC411">
        <f t="shared" si="373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3" spans="1:245" x14ac:dyDescent="0.2">
      <c r="A413" s="2">
        <v>51</v>
      </c>
      <c r="B413" s="2">
        <f>B390</f>
        <v>1</v>
      </c>
      <c r="C413" s="2">
        <f>A390</f>
        <v>5</v>
      </c>
      <c r="D413" s="2">
        <f>ROW(A390)</f>
        <v>390</v>
      </c>
      <c r="E413" s="2"/>
      <c r="F413" s="2" t="str">
        <f>IF(F390&lt;&gt;"",F390,"")</f>
        <v>Новый подраздел</v>
      </c>
      <c r="G413" s="2" t="str">
        <f>IF(G390&lt;&gt;"",G390,"")</f>
        <v>Автоматизация ИТП</v>
      </c>
      <c r="H413" s="2">
        <v>0</v>
      </c>
      <c r="I413" s="2"/>
      <c r="J413" s="2"/>
      <c r="K413" s="2"/>
      <c r="L413" s="2"/>
      <c r="M413" s="2"/>
      <c r="N413" s="2"/>
      <c r="O413" s="2">
        <f t="shared" ref="O413:T413" si="376">ROUND(AB413,2)</f>
        <v>117920.24</v>
      </c>
      <c r="P413" s="2">
        <f t="shared" si="376"/>
        <v>438.09</v>
      </c>
      <c r="Q413" s="2">
        <f t="shared" si="376"/>
        <v>357.7</v>
      </c>
      <c r="R413" s="2">
        <f t="shared" si="376"/>
        <v>194.02</v>
      </c>
      <c r="S413" s="2">
        <f t="shared" si="376"/>
        <v>117124.45</v>
      </c>
      <c r="T413" s="2">
        <f t="shared" si="376"/>
        <v>0</v>
      </c>
      <c r="U413" s="2">
        <f>AH413</f>
        <v>178.72000000000003</v>
      </c>
      <c r="V413" s="2">
        <f>AI413</f>
        <v>0</v>
      </c>
      <c r="W413" s="2">
        <f>ROUND(AJ413,2)</f>
        <v>0</v>
      </c>
      <c r="X413" s="2">
        <f>ROUND(AK413,2)</f>
        <v>81987.12</v>
      </c>
      <c r="Y413" s="2">
        <f>ROUND(AL413,2)</f>
        <v>11712.45</v>
      </c>
      <c r="Z413" s="2"/>
      <c r="AA413" s="2"/>
      <c r="AB413" s="2">
        <f>ROUND(SUMIF(AA394:AA411,"=1407491423",O394:O411),2)</f>
        <v>117920.24</v>
      </c>
      <c r="AC413" s="2">
        <f>ROUND(SUMIF(AA394:AA411,"=1407491423",P394:P411),2)</f>
        <v>438.09</v>
      </c>
      <c r="AD413" s="2">
        <f>ROUND(SUMIF(AA394:AA411,"=1407491423",Q394:Q411),2)</f>
        <v>357.7</v>
      </c>
      <c r="AE413" s="2">
        <f>ROUND(SUMIF(AA394:AA411,"=1407491423",R394:R411),2)</f>
        <v>194.02</v>
      </c>
      <c r="AF413" s="2">
        <f>ROUND(SUMIF(AA394:AA411,"=1407491423",S394:S411),2)</f>
        <v>117124.45</v>
      </c>
      <c r="AG413" s="2">
        <f>ROUND(SUMIF(AA394:AA411,"=1407491423",T394:T411),2)</f>
        <v>0</v>
      </c>
      <c r="AH413" s="2">
        <f>SUMIF(AA394:AA411,"=1407491423",U394:U411)</f>
        <v>178.72000000000003</v>
      </c>
      <c r="AI413" s="2">
        <f>SUMIF(AA394:AA411,"=1407491423",V394:V411)</f>
        <v>0</v>
      </c>
      <c r="AJ413" s="2">
        <f>ROUND(SUMIF(AA394:AA411,"=1407491423",W394:W411),2)</f>
        <v>0</v>
      </c>
      <c r="AK413" s="2">
        <f>ROUND(SUMIF(AA394:AA411,"=1407491423",X394:X411),2)</f>
        <v>81987.12</v>
      </c>
      <c r="AL413" s="2">
        <f>ROUND(SUMIF(AA394:AA411,"=1407491423",Y394:Y411),2)</f>
        <v>11712.45</v>
      </c>
      <c r="AM413" s="2"/>
      <c r="AN413" s="2"/>
      <c r="AO413" s="2">
        <f t="shared" ref="AO413:BD413" si="377">ROUND(BX413,2)</f>
        <v>0</v>
      </c>
      <c r="AP413" s="2">
        <f t="shared" si="377"/>
        <v>0</v>
      </c>
      <c r="AQ413" s="2">
        <f t="shared" si="377"/>
        <v>0</v>
      </c>
      <c r="AR413" s="2">
        <f t="shared" si="377"/>
        <v>211829.35</v>
      </c>
      <c r="AS413" s="2">
        <f t="shared" si="377"/>
        <v>0</v>
      </c>
      <c r="AT413" s="2">
        <f t="shared" si="377"/>
        <v>0</v>
      </c>
      <c r="AU413" s="2">
        <f t="shared" si="377"/>
        <v>211829.35</v>
      </c>
      <c r="AV413" s="2">
        <f t="shared" si="377"/>
        <v>438.09</v>
      </c>
      <c r="AW413" s="2">
        <f t="shared" si="377"/>
        <v>438.09</v>
      </c>
      <c r="AX413" s="2">
        <f t="shared" si="377"/>
        <v>0</v>
      </c>
      <c r="AY413" s="2">
        <f t="shared" si="377"/>
        <v>438.09</v>
      </c>
      <c r="AZ413" s="2">
        <f t="shared" si="377"/>
        <v>0</v>
      </c>
      <c r="BA413" s="2">
        <f t="shared" si="377"/>
        <v>0</v>
      </c>
      <c r="BB413" s="2">
        <f t="shared" si="377"/>
        <v>0</v>
      </c>
      <c r="BC413" s="2">
        <f t="shared" si="377"/>
        <v>0</v>
      </c>
      <c r="BD413" s="2">
        <f t="shared" si="377"/>
        <v>0</v>
      </c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>
        <f>ROUND(SUMIF(AA394:AA411,"=1407491423",FQ394:FQ411),2)</f>
        <v>0</v>
      </c>
      <c r="BY413" s="2">
        <f>ROUND(SUMIF(AA394:AA411,"=1407491423",FR394:FR411),2)</f>
        <v>0</v>
      </c>
      <c r="BZ413" s="2">
        <f>ROUND(SUMIF(AA394:AA411,"=1407491423",GL394:GL411),2)</f>
        <v>0</v>
      </c>
      <c r="CA413" s="2">
        <f>ROUND(SUMIF(AA394:AA411,"=1407491423",GM394:GM411),2)</f>
        <v>211829.35</v>
      </c>
      <c r="CB413" s="2">
        <f>ROUND(SUMIF(AA394:AA411,"=1407491423",GN394:GN411),2)</f>
        <v>0</v>
      </c>
      <c r="CC413" s="2">
        <f>ROUND(SUMIF(AA394:AA411,"=1407491423",GO394:GO411),2)</f>
        <v>0</v>
      </c>
      <c r="CD413" s="2">
        <f>ROUND(SUMIF(AA394:AA411,"=1407491423",GP394:GP411),2)</f>
        <v>211829.35</v>
      </c>
      <c r="CE413" s="2">
        <f>AC413-BX413</f>
        <v>438.09</v>
      </c>
      <c r="CF413" s="2">
        <f>AC413-BY413</f>
        <v>438.09</v>
      </c>
      <c r="CG413" s="2">
        <f>BX413-BZ413</f>
        <v>0</v>
      </c>
      <c r="CH413" s="2">
        <f>AC413-BX413-BY413+BZ413</f>
        <v>438.09</v>
      </c>
      <c r="CI413" s="2">
        <f>BY413-BZ413</f>
        <v>0</v>
      </c>
      <c r="CJ413" s="2">
        <f>ROUND(SUMIF(AA394:AA411,"=1407491423",GX394:GX411),2)</f>
        <v>0</v>
      </c>
      <c r="CK413" s="2">
        <f>ROUND(SUMIF(AA394:AA411,"=1407491423",GY394:GY411),2)</f>
        <v>0</v>
      </c>
      <c r="CL413" s="2">
        <f>ROUND(SUMIF(AA394:AA411,"=1407491423",GZ394:GZ411),2)</f>
        <v>0</v>
      </c>
      <c r="CM413" s="2">
        <f>ROUND(SUMIF(AA394:AA411,"=1407491423",HD394:HD411),2)</f>
        <v>0</v>
      </c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3"/>
      <c r="DH413" s="3"/>
      <c r="DI413" s="3"/>
      <c r="DJ413" s="3"/>
      <c r="DK413" s="3"/>
      <c r="DL413" s="3"/>
      <c r="DM413" s="3"/>
      <c r="DN413" s="3"/>
      <c r="DO413" s="3"/>
      <c r="DP413" s="3"/>
      <c r="DQ413" s="3"/>
      <c r="DR413" s="3"/>
      <c r="DS413" s="3"/>
      <c r="DT413" s="3"/>
      <c r="DU413" s="3"/>
      <c r="DV413" s="3"/>
      <c r="DW413" s="3"/>
      <c r="DX413" s="3"/>
      <c r="DY413" s="3"/>
      <c r="DZ413" s="3"/>
      <c r="EA413" s="3"/>
      <c r="EB413" s="3"/>
      <c r="EC413" s="3"/>
      <c r="ED413" s="3"/>
      <c r="EE413" s="3"/>
      <c r="EF413" s="3"/>
      <c r="EG413" s="3"/>
      <c r="EH413" s="3"/>
      <c r="EI413" s="3"/>
      <c r="EJ413" s="3"/>
      <c r="EK413" s="3"/>
      <c r="EL413" s="3"/>
      <c r="EM413" s="3"/>
      <c r="EN413" s="3"/>
      <c r="EO413" s="3"/>
      <c r="EP413" s="3"/>
      <c r="EQ413" s="3"/>
      <c r="ER413" s="3"/>
      <c r="ES413" s="3"/>
      <c r="ET413" s="3"/>
      <c r="EU413" s="3"/>
      <c r="EV413" s="3"/>
      <c r="EW413" s="3"/>
      <c r="EX413" s="3"/>
      <c r="EY413" s="3"/>
      <c r="EZ413" s="3"/>
      <c r="FA413" s="3"/>
      <c r="FB413" s="3"/>
      <c r="FC413" s="3"/>
      <c r="FD413" s="3"/>
      <c r="FE413" s="3"/>
      <c r="FF413" s="3"/>
      <c r="FG413" s="3"/>
      <c r="FH413" s="3"/>
      <c r="FI413" s="3"/>
      <c r="FJ413" s="3"/>
      <c r="FK413" s="3"/>
      <c r="FL413" s="3"/>
      <c r="FM413" s="3"/>
      <c r="FN413" s="3"/>
      <c r="FO413" s="3"/>
      <c r="FP413" s="3"/>
      <c r="FQ413" s="3"/>
      <c r="FR413" s="3"/>
      <c r="FS413" s="3"/>
      <c r="FT413" s="3"/>
      <c r="FU413" s="3"/>
      <c r="FV413" s="3"/>
      <c r="FW413" s="3"/>
      <c r="FX413" s="3"/>
      <c r="FY413" s="3"/>
      <c r="FZ413" s="3"/>
      <c r="GA413" s="3"/>
      <c r="GB413" s="3"/>
      <c r="GC413" s="3"/>
      <c r="GD413" s="3"/>
      <c r="GE413" s="3"/>
      <c r="GF413" s="3"/>
      <c r="GG413" s="3"/>
      <c r="GH413" s="3"/>
      <c r="GI413" s="3"/>
      <c r="GJ413" s="3"/>
      <c r="GK413" s="3"/>
      <c r="GL413" s="3"/>
      <c r="GM413" s="3"/>
      <c r="GN413" s="3"/>
      <c r="GO413" s="3"/>
      <c r="GP413" s="3"/>
      <c r="GQ413" s="3"/>
      <c r="GR413" s="3"/>
      <c r="GS413" s="3"/>
      <c r="GT413" s="3"/>
      <c r="GU413" s="3"/>
      <c r="GV413" s="3"/>
      <c r="GW413" s="3"/>
      <c r="GX413" s="3">
        <v>0</v>
      </c>
    </row>
    <row r="415" spans="1:245" x14ac:dyDescent="0.2">
      <c r="A415" s="4">
        <v>50</v>
      </c>
      <c r="B415" s="4">
        <v>0</v>
      </c>
      <c r="C415" s="4">
        <v>0</v>
      </c>
      <c r="D415" s="4">
        <v>1</v>
      </c>
      <c r="E415" s="4">
        <v>201</v>
      </c>
      <c r="F415" s="4">
        <f>ROUND(Source!O413,O415)</f>
        <v>117920.24</v>
      </c>
      <c r="G415" s="4" t="s">
        <v>74</v>
      </c>
      <c r="H415" s="4" t="s">
        <v>75</v>
      </c>
      <c r="I415" s="4"/>
      <c r="J415" s="4"/>
      <c r="K415" s="4">
        <v>201</v>
      </c>
      <c r="L415" s="4">
        <v>1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117920.24</v>
      </c>
      <c r="X415" s="4">
        <v>1</v>
      </c>
      <c r="Y415" s="4">
        <v>117920.24</v>
      </c>
      <c r="Z415" s="4"/>
      <c r="AA415" s="4"/>
      <c r="AB415" s="4"/>
    </row>
    <row r="416" spans="1:245" x14ac:dyDescent="0.2">
      <c r="A416" s="4">
        <v>50</v>
      </c>
      <c r="B416" s="4">
        <v>0</v>
      </c>
      <c r="C416" s="4">
        <v>0</v>
      </c>
      <c r="D416" s="4">
        <v>1</v>
      </c>
      <c r="E416" s="4">
        <v>202</v>
      </c>
      <c r="F416" s="4">
        <f>ROUND(Source!P413,O416)</f>
        <v>438.09</v>
      </c>
      <c r="G416" s="4" t="s">
        <v>76</v>
      </c>
      <c r="H416" s="4" t="s">
        <v>77</v>
      </c>
      <c r="I416" s="4"/>
      <c r="J416" s="4"/>
      <c r="K416" s="4">
        <v>202</v>
      </c>
      <c r="L416" s="4">
        <v>2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438.09</v>
      </c>
      <c r="X416" s="4">
        <v>1</v>
      </c>
      <c r="Y416" s="4">
        <v>438.09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222</v>
      </c>
      <c r="F417" s="4">
        <f>ROUND(Source!AO413,O417)</f>
        <v>0</v>
      </c>
      <c r="G417" s="4" t="s">
        <v>78</v>
      </c>
      <c r="H417" s="4" t="s">
        <v>79</v>
      </c>
      <c r="I417" s="4"/>
      <c r="J417" s="4"/>
      <c r="K417" s="4">
        <v>222</v>
      </c>
      <c r="L417" s="4">
        <v>3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225</v>
      </c>
      <c r="F418" s="4">
        <f>ROUND(Source!AV413,O418)</f>
        <v>438.09</v>
      </c>
      <c r="G418" s="4" t="s">
        <v>80</v>
      </c>
      <c r="H418" s="4" t="s">
        <v>81</v>
      </c>
      <c r="I418" s="4"/>
      <c r="J418" s="4"/>
      <c r="K418" s="4">
        <v>225</v>
      </c>
      <c r="L418" s="4">
        <v>4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438.09</v>
      </c>
      <c r="X418" s="4">
        <v>1</v>
      </c>
      <c r="Y418" s="4">
        <v>438.09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226</v>
      </c>
      <c r="F419" s="4">
        <f>ROUND(Source!AW413,O419)</f>
        <v>438.09</v>
      </c>
      <c r="G419" s="4" t="s">
        <v>82</v>
      </c>
      <c r="H419" s="4" t="s">
        <v>83</v>
      </c>
      <c r="I419" s="4"/>
      <c r="J419" s="4"/>
      <c r="K419" s="4">
        <v>226</v>
      </c>
      <c r="L419" s="4">
        <v>5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438.09</v>
      </c>
      <c r="X419" s="4">
        <v>1</v>
      </c>
      <c r="Y419" s="4">
        <v>438.09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227</v>
      </c>
      <c r="F420" s="4">
        <f>ROUND(Source!AX413,O420)</f>
        <v>0</v>
      </c>
      <c r="G420" s="4" t="s">
        <v>84</v>
      </c>
      <c r="H420" s="4" t="s">
        <v>85</v>
      </c>
      <c r="I420" s="4"/>
      <c r="J420" s="4"/>
      <c r="K420" s="4">
        <v>227</v>
      </c>
      <c r="L420" s="4">
        <v>6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228</v>
      </c>
      <c r="F421" s="4">
        <f>ROUND(Source!AY413,O421)</f>
        <v>438.09</v>
      </c>
      <c r="G421" s="4" t="s">
        <v>86</v>
      </c>
      <c r="H421" s="4" t="s">
        <v>87</v>
      </c>
      <c r="I421" s="4"/>
      <c r="J421" s="4"/>
      <c r="K421" s="4">
        <v>228</v>
      </c>
      <c r="L421" s="4">
        <v>7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438.09</v>
      </c>
      <c r="X421" s="4">
        <v>1</v>
      </c>
      <c r="Y421" s="4">
        <v>438.09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216</v>
      </c>
      <c r="F422" s="4">
        <f>ROUND(Source!AP413,O422)</f>
        <v>0</v>
      </c>
      <c r="G422" s="4" t="s">
        <v>88</v>
      </c>
      <c r="H422" s="4" t="s">
        <v>89</v>
      </c>
      <c r="I422" s="4"/>
      <c r="J422" s="4"/>
      <c r="K422" s="4">
        <v>216</v>
      </c>
      <c r="L422" s="4">
        <v>8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223</v>
      </c>
      <c r="F423" s="4">
        <f>ROUND(Source!AQ413,O423)</f>
        <v>0</v>
      </c>
      <c r="G423" s="4" t="s">
        <v>90</v>
      </c>
      <c r="H423" s="4" t="s">
        <v>91</v>
      </c>
      <c r="I423" s="4"/>
      <c r="J423" s="4"/>
      <c r="K423" s="4">
        <v>223</v>
      </c>
      <c r="L423" s="4">
        <v>9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229</v>
      </c>
      <c r="F424" s="4">
        <f>ROUND(Source!AZ413,O424)</f>
        <v>0</v>
      </c>
      <c r="G424" s="4" t="s">
        <v>92</v>
      </c>
      <c r="H424" s="4" t="s">
        <v>93</v>
      </c>
      <c r="I424" s="4"/>
      <c r="J424" s="4"/>
      <c r="K424" s="4">
        <v>229</v>
      </c>
      <c r="L424" s="4">
        <v>10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203</v>
      </c>
      <c r="F425" s="4">
        <f>ROUND(Source!Q413,O425)</f>
        <v>357.7</v>
      </c>
      <c r="G425" s="4" t="s">
        <v>94</v>
      </c>
      <c r="H425" s="4" t="s">
        <v>95</v>
      </c>
      <c r="I425" s="4"/>
      <c r="J425" s="4"/>
      <c r="K425" s="4">
        <v>203</v>
      </c>
      <c r="L425" s="4">
        <v>11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357.7</v>
      </c>
      <c r="X425" s="4">
        <v>1</v>
      </c>
      <c r="Y425" s="4">
        <v>357.7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231</v>
      </c>
      <c r="F426" s="4">
        <f>ROUND(Source!BB413,O426)</f>
        <v>0</v>
      </c>
      <c r="G426" s="4" t="s">
        <v>96</v>
      </c>
      <c r="H426" s="4" t="s">
        <v>97</v>
      </c>
      <c r="I426" s="4"/>
      <c r="J426" s="4"/>
      <c r="K426" s="4">
        <v>231</v>
      </c>
      <c r="L426" s="4">
        <v>12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204</v>
      </c>
      <c r="F427" s="4">
        <f>ROUND(Source!R413,O427)</f>
        <v>194.02</v>
      </c>
      <c r="G427" s="4" t="s">
        <v>98</v>
      </c>
      <c r="H427" s="4" t="s">
        <v>99</v>
      </c>
      <c r="I427" s="4"/>
      <c r="J427" s="4"/>
      <c r="K427" s="4">
        <v>204</v>
      </c>
      <c r="L427" s="4">
        <v>13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194.02</v>
      </c>
      <c r="X427" s="4">
        <v>1</v>
      </c>
      <c r="Y427" s="4">
        <v>194.02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205</v>
      </c>
      <c r="F428" s="4">
        <f>ROUND(Source!S413,O428)</f>
        <v>117124.45</v>
      </c>
      <c r="G428" s="4" t="s">
        <v>100</v>
      </c>
      <c r="H428" s="4" t="s">
        <v>101</v>
      </c>
      <c r="I428" s="4"/>
      <c r="J428" s="4"/>
      <c r="K428" s="4">
        <v>205</v>
      </c>
      <c r="L428" s="4">
        <v>14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117124.45</v>
      </c>
      <c r="X428" s="4">
        <v>1</v>
      </c>
      <c r="Y428" s="4">
        <v>117124.45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232</v>
      </c>
      <c r="F429" s="4">
        <f>ROUND(Source!BC413,O429)</f>
        <v>0</v>
      </c>
      <c r="G429" s="4" t="s">
        <v>102</v>
      </c>
      <c r="H429" s="4" t="s">
        <v>103</v>
      </c>
      <c r="I429" s="4"/>
      <c r="J429" s="4"/>
      <c r="K429" s="4">
        <v>232</v>
      </c>
      <c r="L429" s="4">
        <v>15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214</v>
      </c>
      <c r="F430" s="4">
        <f>ROUND(Source!AS413,O430)</f>
        <v>0</v>
      </c>
      <c r="G430" s="4" t="s">
        <v>104</v>
      </c>
      <c r="H430" s="4" t="s">
        <v>105</v>
      </c>
      <c r="I430" s="4"/>
      <c r="J430" s="4"/>
      <c r="K430" s="4">
        <v>214</v>
      </c>
      <c r="L430" s="4">
        <v>16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215</v>
      </c>
      <c r="F431" s="4">
        <f>ROUND(Source!AT413,O431)</f>
        <v>0</v>
      </c>
      <c r="G431" s="4" t="s">
        <v>106</v>
      </c>
      <c r="H431" s="4" t="s">
        <v>107</v>
      </c>
      <c r="I431" s="4"/>
      <c r="J431" s="4"/>
      <c r="K431" s="4">
        <v>215</v>
      </c>
      <c r="L431" s="4">
        <v>17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217</v>
      </c>
      <c r="F432" s="4">
        <f>ROUND(Source!AU413,O432)</f>
        <v>211829.35</v>
      </c>
      <c r="G432" s="4" t="s">
        <v>108</v>
      </c>
      <c r="H432" s="4" t="s">
        <v>109</v>
      </c>
      <c r="I432" s="4"/>
      <c r="J432" s="4"/>
      <c r="K432" s="4">
        <v>217</v>
      </c>
      <c r="L432" s="4">
        <v>18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211829.35</v>
      </c>
      <c r="X432" s="4">
        <v>1</v>
      </c>
      <c r="Y432" s="4">
        <v>211829.35</v>
      </c>
      <c r="Z432" s="4"/>
      <c r="AA432" s="4"/>
      <c r="AB432" s="4"/>
    </row>
    <row r="433" spans="1:206" x14ac:dyDescent="0.2">
      <c r="A433" s="4">
        <v>50</v>
      </c>
      <c r="B433" s="4">
        <v>0</v>
      </c>
      <c r="C433" s="4">
        <v>0</v>
      </c>
      <c r="D433" s="4">
        <v>1</v>
      </c>
      <c r="E433" s="4">
        <v>230</v>
      </c>
      <c r="F433" s="4">
        <f>ROUND(Source!BA413,O433)</f>
        <v>0</v>
      </c>
      <c r="G433" s="4" t="s">
        <v>110</v>
      </c>
      <c r="H433" s="4" t="s">
        <v>111</v>
      </c>
      <c r="I433" s="4"/>
      <c r="J433" s="4"/>
      <c r="K433" s="4">
        <v>230</v>
      </c>
      <c r="L433" s="4">
        <v>19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06" x14ac:dyDescent="0.2">
      <c r="A434" s="4">
        <v>50</v>
      </c>
      <c r="B434" s="4">
        <v>0</v>
      </c>
      <c r="C434" s="4">
        <v>0</v>
      </c>
      <c r="D434" s="4">
        <v>1</v>
      </c>
      <c r="E434" s="4">
        <v>206</v>
      </c>
      <c r="F434" s="4">
        <f>ROUND(Source!T413,O434)</f>
        <v>0</v>
      </c>
      <c r="G434" s="4" t="s">
        <v>112</v>
      </c>
      <c r="H434" s="4" t="s">
        <v>113</v>
      </c>
      <c r="I434" s="4"/>
      <c r="J434" s="4"/>
      <c r="K434" s="4">
        <v>206</v>
      </c>
      <c r="L434" s="4">
        <v>20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 x14ac:dyDescent="0.2">
      <c r="A435" s="4">
        <v>50</v>
      </c>
      <c r="B435" s="4">
        <v>0</v>
      </c>
      <c r="C435" s="4">
        <v>0</v>
      </c>
      <c r="D435" s="4">
        <v>1</v>
      </c>
      <c r="E435" s="4">
        <v>207</v>
      </c>
      <c r="F435" s="4">
        <f>Source!U413</f>
        <v>178.72000000000003</v>
      </c>
      <c r="G435" s="4" t="s">
        <v>114</v>
      </c>
      <c r="H435" s="4" t="s">
        <v>115</v>
      </c>
      <c r="I435" s="4"/>
      <c r="J435" s="4"/>
      <c r="K435" s="4">
        <v>207</v>
      </c>
      <c r="L435" s="4">
        <v>21</v>
      </c>
      <c r="M435" s="4">
        <v>3</v>
      </c>
      <c r="N435" s="4" t="s">
        <v>3</v>
      </c>
      <c r="O435" s="4">
        <v>-1</v>
      </c>
      <c r="P435" s="4"/>
      <c r="Q435" s="4"/>
      <c r="R435" s="4"/>
      <c r="S435" s="4"/>
      <c r="T435" s="4"/>
      <c r="U435" s="4"/>
      <c r="V435" s="4"/>
      <c r="W435" s="4">
        <v>178.72000000000003</v>
      </c>
      <c r="X435" s="4">
        <v>1</v>
      </c>
      <c r="Y435" s="4">
        <v>178.72000000000003</v>
      </c>
      <c r="Z435" s="4"/>
      <c r="AA435" s="4"/>
      <c r="AB435" s="4"/>
    </row>
    <row r="436" spans="1:206" x14ac:dyDescent="0.2">
      <c r="A436" s="4">
        <v>50</v>
      </c>
      <c r="B436" s="4">
        <v>0</v>
      </c>
      <c r="C436" s="4">
        <v>0</v>
      </c>
      <c r="D436" s="4">
        <v>1</v>
      </c>
      <c r="E436" s="4">
        <v>208</v>
      </c>
      <c r="F436" s="4">
        <f>Source!V413</f>
        <v>0</v>
      </c>
      <c r="G436" s="4" t="s">
        <v>116</v>
      </c>
      <c r="H436" s="4" t="s">
        <v>117</v>
      </c>
      <c r="I436" s="4"/>
      <c r="J436" s="4"/>
      <c r="K436" s="4">
        <v>208</v>
      </c>
      <c r="L436" s="4">
        <v>22</v>
      </c>
      <c r="M436" s="4">
        <v>3</v>
      </c>
      <c r="N436" s="4" t="s">
        <v>3</v>
      </c>
      <c r="O436" s="4">
        <v>-1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 x14ac:dyDescent="0.2">
      <c r="A437" s="4">
        <v>50</v>
      </c>
      <c r="B437" s="4">
        <v>0</v>
      </c>
      <c r="C437" s="4">
        <v>0</v>
      </c>
      <c r="D437" s="4">
        <v>1</v>
      </c>
      <c r="E437" s="4">
        <v>209</v>
      </c>
      <c r="F437" s="4">
        <f>ROUND(Source!W413,O437)</f>
        <v>0</v>
      </c>
      <c r="G437" s="4" t="s">
        <v>118</v>
      </c>
      <c r="H437" s="4" t="s">
        <v>119</v>
      </c>
      <c r="I437" s="4"/>
      <c r="J437" s="4"/>
      <c r="K437" s="4">
        <v>209</v>
      </c>
      <c r="L437" s="4">
        <v>23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 x14ac:dyDescent="0.2">
      <c r="A438" s="4">
        <v>50</v>
      </c>
      <c r="B438" s="4">
        <v>0</v>
      </c>
      <c r="C438" s="4">
        <v>0</v>
      </c>
      <c r="D438" s="4">
        <v>1</v>
      </c>
      <c r="E438" s="4">
        <v>233</v>
      </c>
      <c r="F438" s="4">
        <f>ROUND(Source!BD413,O438)</f>
        <v>0</v>
      </c>
      <c r="G438" s="4" t="s">
        <v>120</v>
      </c>
      <c r="H438" s="4" t="s">
        <v>121</v>
      </c>
      <c r="I438" s="4"/>
      <c r="J438" s="4"/>
      <c r="K438" s="4">
        <v>233</v>
      </c>
      <c r="L438" s="4">
        <v>24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 x14ac:dyDescent="0.2">
      <c r="A439" s="4">
        <v>50</v>
      </c>
      <c r="B439" s="4">
        <v>0</v>
      </c>
      <c r="C439" s="4">
        <v>0</v>
      </c>
      <c r="D439" s="4">
        <v>1</v>
      </c>
      <c r="E439" s="4">
        <v>210</v>
      </c>
      <c r="F439" s="4">
        <f>ROUND(Source!X413,O439)</f>
        <v>81987.12</v>
      </c>
      <c r="G439" s="4" t="s">
        <v>122</v>
      </c>
      <c r="H439" s="4" t="s">
        <v>123</v>
      </c>
      <c r="I439" s="4"/>
      <c r="J439" s="4"/>
      <c r="K439" s="4">
        <v>210</v>
      </c>
      <c r="L439" s="4">
        <v>25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81987.12</v>
      </c>
      <c r="X439" s="4">
        <v>1</v>
      </c>
      <c r="Y439" s="4">
        <v>81987.12</v>
      </c>
      <c r="Z439" s="4"/>
      <c r="AA439" s="4"/>
      <c r="AB439" s="4"/>
    </row>
    <row r="440" spans="1:206" x14ac:dyDescent="0.2">
      <c r="A440" s="4">
        <v>50</v>
      </c>
      <c r="B440" s="4">
        <v>0</v>
      </c>
      <c r="C440" s="4">
        <v>0</v>
      </c>
      <c r="D440" s="4">
        <v>1</v>
      </c>
      <c r="E440" s="4">
        <v>211</v>
      </c>
      <c r="F440" s="4">
        <f>ROUND(Source!Y413,O440)</f>
        <v>11712.45</v>
      </c>
      <c r="G440" s="4" t="s">
        <v>124</v>
      </c>
      <c r="H440" s="4" t="s">
        <v>125</v>
      </c>
      <c r="I440" s="4"/>
      <c r="J440" s="4"/>
      <c r="K440" s="4">
        <v>211</v>
      </c>
      <c r="L440" s="4">
        <v>26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11712.45</v>
      </c>
      <c r="X440" s="4">
        <v>1</v>
      </c>
      <c r="Y440" s="4">
        <v>11712.45</v>
      </c>
      <c r="Z440" s="4"/>
      <c r="AA440" s="4"/>
      <c r="AB440" s="4"/>
    </row>
    <row r="441" spans="1:206" x14ac:dyDescent="0.2">
      <c r="A441" s="4">
        <v>50</v>
      </c>
      <c r="B441" s="4">
        <v>0</v>
      </c>
      <c r="C441" s="4">
        <v>0</v>
      </c>
      <c r="D441" s="4">
        <v>1</v>
      </c>
      <c r="E441" s="4">
        <v>224</v>
      </c>
      <c r="F441" s="4">
        <f>ROUND(Source!AR413,O441)</f>
        <v>211829.35</v>
      </c>
      <c r="G441" s="4" t="s">
        <v>126</v>
      </c>
      <c r="H441" s="4" t="s">
        <v>127</v>
      </c>
      <c r="I441" s="4"/>
      <c r="J441" s="4"/>
      <c r="K441" s="4">
        <v>224</v>
      </c>
      <c r="L441" s="4">
        <v>27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211829.35</v>
      </c>
      <c r="X441" s="4">
        <v>1</v>
      </c>
      <c r="Y441" s="4">
        <v>211829.35</v>
      </c>
      <c r="Z441" s="4"/>
      <c r="AA441" s="4"/>
      <c r="AB441" s="4"/>
    </row>
    <row r="443" spans="1:206" x14ac:dyDescent="0.2">
      <c r="A443" s="2">
        <v>51</v>
      </c>
      <c r="B443" s="2">
        <f>B337</f>
        <v>1</v>
      </c>
      <c r="C443" s="2">
        <f>A337</f>
        <v>4</v>
      </c>
      <c r="D443" s="2">
        <f>ROW(A337)</f>
        <v>337</v>
      </c>
      <c r="E443" s="2"/>
      <c r="F443" s="2" t="str">
        <f>IF(F337&lt;&gt;"",F337,"")</f>
        <v>Новый раздел</v>
      </c>
      <c r="G443" s="2" t="str">
        <f>IF(G337&lt;&gt;"",G337,"")</f>
        <v>ИТП</v>
      </c>
      <c r="H443" s="2">
        <v>0</v>
      </c>
      <c r="I443" s="2"/>
      <c r="J443" s="2"/>
      <c r="K443" s="2"/>
      <c r="L443" s="2"/>
      <c r="M443" s="2"/>
      <c r="N443" s="2"/>
      <c r="O443" s="2">
        <f t="shared" ref="O443:T443" si="378">ROUND(O360+O413+AB443,2)</f>
        <v>143132.94</v>
      </c>
      <c r="P443" s="2">
        <f t="shared" si="378"/>
        <v>639.82000000000005</v>
      </c>
      <c r="Q443" s="2">
        <f t="shared" si="378"/>
        <v>3934.82</v>
      </c>
      <c r="R443" s="2">
        <f t="shared" si="378"/>
        <v>2134.34</v>
      </c>
      <c r="S443" s="2">
        <f t="shared" si="378"/>
        <v>138558.29999999999</v>
      </c>
      <c r="T443" s="2">
        <f t="shared" si="378"/>
        <v>0</v>
      </c>
      <c r="U443" s="2">
        <f>U360+U413+AH443</f>
        <v>211.71850000000003</v>
      </c>
      <c r="V443" s="2">
        <f>V360+V413+AI443</f>
        <v>0</v>
      </c>
      <c r="W443" s="2">
        <f>ROUND(W360+W413+AJ443,2)</f>
        <v>0</v>
      </c>
      <c r="X443" s="2">
        <f>ROUND(X360+X413+AK443,2)</f>
        <v>96990.83</v>
      </c>
      <c r="Y443" s="2">
        <f>ROUND(Y360+Y413+AL443,2)</f>
        <v>13855.84</v>
      </c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>
        <f t="shared" ref="AO443:BD443" si="379">ROUND(AO360+AO413+BX443,2)</f>
        <v>0</v>
      </c>
      <c r="AP443" s="2">
        <f t="shared" si="379"/>
        <v>0</v>
      </c>
      <c r="AQ443" s="2">
        <f t="shared" si="379"/>
        <v>0</v>
      </c>
      <c r="AR443" s="2">
        <f t="shared" si="379"/>
        <v>256284.7</v>
      </c>
      <c r="AS443" s="2">
        <f t="shared" si="379"/>
        <v>0</v>
      </c>
      <c r="AT443" s="2">
        <f t="shared" si="379"/>
        <v>0</v>
      </c>
      <c r="AU443" s="2">
        <f t="shared" si="379"/>
        <v>256284.7</v>
      </c>
      <c r="AV443" s="2">
        <f t="shared" si="379"/>
        <v>639.82000000000005</v>
      </c>
      <c r="AW443" s="2">
        <f t="shared" si="379"/>
        <v>639.82000000000005</v>
      </c>
      <c r="AX443" s="2">
        <f t="shared" si="379"/>
        <v>0</v>
      </c>
      <c r="AY443" s="2">
        <f t="shared" si="379"/>
        <v>639.82000000000005</v>
      </c>
      <c r="AZ443" s="2">
        <f t="shared" si="379"/>
        <v>0</v>
      </c>
      <c r="BA443" s="2">
        <f t="shared" si="379"/>
        <v>0</v>
      </c>
      <c r="BB443" s="2">
        <f t="shared" si="379"/>
        <v>0</v>
      </c>
      <c r="BC443" s="2">
        <f t="shared" si="379"/>
        <v>0</v>
      </c>
      <c r="BD443" s="2">
        <f t="shared" si="379"/>
        <v>0</v>
      </c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3"/>
      <c r="DH443" s="3"/>
      <c r="DI443" s="3"/>
      <c r="DJ443" s="3"/>
      <c r="DK443" s="3"/>
      <c r="DL443" s="3"/>
      <c r="DM443" s="3"/>
      <c r="DN443" s="3"/>
      <c r="DO443" s="3"/>
      <c r="DP443" s="3"/>
      <c r="DQ443" s="3"/>
      <c r="DR443" s="3"/>
      <c r="DS443" s="3"/>
      <c r="DT443" s="3"/>
      <c r="DU443" s="3"/>
      <c r="DV443" s="3"/>
      <c r="DW443" s="3"/>
      <c r="DX443" s="3"/>
      <c r="DY443" s="3"/>
      <c r="DZ443" s="3"/>
      <c r="EA443" s="3"/>
      <c r="EB443" s="3"/>
      <c r="EC443" s="3"/>
      <c r="ED443" s="3"/>
      <c r="EE443" s="3"/>
      <c r="EF443" s="3"/>
      <c r="EG443" s="3"/>
      <c r="EH443" s="3"/>
      <c r="EI443" s="3"/>
      <c r="EJ443" s="3"/>
      <c r="EK443" s="3"/>
      <c r="EL443" s="3"/>
      <c r="EM443" s="3"/>
      <c r="EN443" s="3"/>
      <c r="EO443" s="3"/>
      <c r="EP443" s="3"/>
      <c r="EQ443" s="3"/>
      <c r="ER443" s="3"/>
      <c r="ES443" s="3"/>
      <c r="ET443" s="3"/>
      <c r="EU443" s="3"/>
      <c r="EV443" s="3"/>
      <c r="EW443" s="3"/>
      <c r="EX443" s="3"/>
      <c r="EY443" s="3"/>
      <c r="EZ443" s="3"/>
      <c r="FA443" s="3"/>
      <c r="FB443" s="3"/>
      <c r="FC443" s="3"/>
      <c r="FD443" s="3"/>
      <c r="FE443" s="3"/>
      <c r="FF443" s="3"/>
      <c r="FG443" s="3"/>
      <c r="FH443" s="3"/>
      <c r="FI443" s="3"/>
      <c r="FJ443" s="3"/>
      <c r="FK443" s="3"/>
      <c r="FL443" s="3"/>
      <c r="FM443" s="3"/>
      <c r="FN443" s="3"/>
      <c r="FO443" s="3"/>
      <c r="FP443" s="3"/>
      <c r="FQ443" s="3"/>
      <c r="FR443" s="3"/>
      <c r="FS443" s="3"/>
      <c r="FT443" s="3"/>
      <c r="FU443" s="3"/>
      <c r="FV443" s="3"/>
      <c r="FW443" s="3"/>
      <c r="FX443" s="3"/>
      <c r="FY443" s="3"/>
      <c r="FZ443" s="3"/>
      <c r="GA443" s="3"/>
      <c r="GB443" s="3"/>
      <c r="GC443" s="3"/>
      <c r="GD443" s="3"/>
      <c r="GE443" s="3"/>
      <c r="GF443" s="3"/>
      <c r="GG443" s="3"/>
      <c r="GH443" s="3"/>
      <c r="GI443" s="3"/>
      <c r="GJ443" s="3"/>
      <c r="GK443" s="3"/>
      <c r="GL443" s="3"/>
      <c r="GM443" s="3"/>
      <c r="GN443" s="3"/>
      <c r="GO443" s="3"/>
      <c r="GP443" s="3"/>
      <c r="GQ443" s="3"/>
      <c r="GR443" s="3"/>
      <c r="GS443" s="3"/>
      <c r="GT443" s="3"/>
      <c r="GU443" s="3"/>
      <c r="GV443" s="3"/>
      <c r="GW443" s="3"/>
      <c r="GX443" s="3">
        <v>0</v>
      </c>
    </row>
    <row r="445" spans="1:206" x14ac:dyDescent="0.2">
      <c r="A445" s="4">
        <v>50</v>
      </c>
      <c r="B445" s="4">
        <v>0</v>
      </c>
      <c r="C445" s="4">
        <v>0</v>
      </c>
      <c r="D445" s="4">
        <v>1</v>
      </c>
      <c r="E445" s="4">
        <v>201</v>
      </c>
      <c r="F445" s="4">
        <f>ROUND(Source!O443,O445)</f>
        <v>143132.94</v>
      </c>
      <c r="G445" s="4" t="s">
        <v>74</v>
      </c>
      <c r="H445" s="4" t="s">
        <v>75</v>
      </c>
      <c r="I445" s="4"/>
      <c r="J445" s="4"/>
      <c r="K445" s="4">
        <v>201</v>
      </c>
      <c r="L445" s="4">
        <v>1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143132.94</v>
      </c>
      <c r="X445" s="4">
        <v>1</v>
      </c>
      <c r="Y445" s="4">
        <v>143132.94</v>
      </c>
      <c r="Z445" s="4"/>
      <c r="AA445" s="4"/>
      <c r="AB445" s="4"/>
    </row>
    <row r="446" spans="1:206" x14ac:dyDescent="0.2">
      <c r="A446" s="4">
        <v>50</v>
      </c>
      <c r="B446" s="4">
        <v>0</v>
      </c>
      <c r="C446" s="4">
        <v>0</v>
      </c>
      <c r="D446" s="4">
        <v>1</v>
      </c>
      <c r="E446" s="4">
        <v>202</v>
      </c>
      <c r="F446" s="4">
        <f>ROUND(Source!P443,O446)</f>
        <v>639.82000000000005</v>
      </c>
      <c r="G446" s="4" t="s">
        <v>76</v>
      </c>
      <c r="H446" s="4" t="s">
        <v>77</v>
      </c>
      <c r="I446" s="4"/>
      <c r="J446" s="4"/>
      <c r="K446" s="4">
        <v>202</v>
      </c>
      <c r="L446" s="4">
        <v>2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639.82000000000005</v>
      </c>
      <c r="X446" s="4">
        <v>1</v>
      </c>
      <c r="Y446" s="4">
        <v>639.82000000000005</v>
      </c>
      <c r="Z446" s="4"/>
      <c r="AA446" s="4"/>
      <c r="AB446" s="4"/>
    </row>
    <row r="447" spans="1:206" x14ac:dyDescent="0.2">
      <c r="A447" s="4">
        <v>50</v>
      </c>
      <c r="B447" s="4">
        <v>0</v>
      </c>
      <c r="C447" s="4">
        <v>0</v>
      </c>
      <c r="D447" s="4">
        <v>1</v>
      </c>
      <c r="E447" s="4">
        <v>222</v>
      </c>
      <c r="F447" s="4">
        <f>ROUND(Source!AO443,O447)</f>
        <v>0</v>
      </c>
      <c r="G447" s="4" t="s">
        <v>78</v>
      </c>
      <c r="H447" s="4" t="s">
        <v>79</v>
      </c>
      <c r="I447" s="4"/>
      <c r="J447" s="4"/>
      <c r="K447" s="4">
        <v>222</v>
      </c>
      <c r="L447" s="4">
        <v>3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06" x14ac:dyDescent="0.2">
      <c r="A448" s="4">
        <v>50</v>
      </c>
      <c r="B448" s="4">
        <v>0</v>
      </c>
      <c r="C448" s="4">
        <v>0</v>
      </c>
      <c r="D448" s="4">
        <v>1</v>
      </c>
      <c r="E448" s="4">
        <v>225</v>
      </c>
      <c r="F448" s="4">
        <f>ROUND(Source!AV443,O448)</f>
        <v>639.82000000000005</v>
      </c>
      <c r="G448" s="4" t="s">
        <v>80</v>
      </c>
      <c r="H448" s="4" t="s">
        <v>81</v>
      </c>
      <c r="I448" s="4"/>
      <c r="J448" s="4"/>
      <c r="K448" s="4">
        <v>225</v>
      </c>
      <c r="L448" s="4">
        <v>4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639.82000000000005</v>
      </c>
      <c r="X448" s="4">
        <v>1</v>
      </c>
      <c r="Y448" s="4">
        <v>639.82000000000005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226</v>
      </c>
      <c r="F449" s="4">
        <f>ROUND(Source!AW443,O449)</f>
        <v>639.82000000000005</v>
      </c>
      <c r="G449" s="4" t="s">
        <v>82</v>
      </c>
      <c r="H449" s="4" t="s">
        <v>83</v>
      </c>
      <c r="I449" s="4"/>
      <c r="J449" s="4"/>
      <c r="K449" s="4">
        <v>226</v>
      </c>
      <c r="L449" s="4">
        <v>5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639.82000000000005</v>
      </c>
      <c r="X449" s="4">
        <v>1</v>
      </c>
      <c r="Y449" s="4">
        <v>639.82000000000005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227</v>
      </c>
      <c r="F450" s="4">
        <f>ROUND(Source!AX443,O450)</f>
        <v>0</v>
      </c>
      <c r="G450" s="4" t="s">
        <v>84</v>
      </c>
      <c r="H450" s="4" t="s">
        <v>85</v>
      </c>
      <c r="I450" s="4"/>
      <c r="J450" s="4"/>
      <c r="K450" s="4">
        <v>227</v>
      </c>
      <c r="L450" s="4">
        <v>6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228</v>
      </c>
      <c r="F451" s="4">
        <f>ROUND(Source!AY443,O451)</f>
        <v>639.82000000000005</v>
      </c>
      <c r="G451" s="4" t="s">
        <v>86</v>
      </c>
      <c r="H451" s="4" t="s">
        <v>87</v>
      </c>
      <c r="I451" s="4"/>
      <c r="J451" s="4"/>
      <c r="K451" s="4">
        <v>228</v>
      </c>
      <c r="L451" s="4">
        <v>7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639.82000000000005</v>
      </c>
      <c r="X451" s="4">
        <v>1</v>
      </c>
      <c r="Y451" s="4">
        <v>639.82000000000005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216</v>
      </c>
      <c r="F452" s="4">
        <f>ROUND(Source!AP443,O452)</f>
        <v>0</v>
      </c>
      <c r="G452" s="4" t="s">
        <v>88</v>
      </c>
      <c r="H452" s="4" t="s">
        <v>89</v>
      </c>
      <c r="I452" s="4"/>
      <c r="J452" s="4"/>
      <c r="K452" s="4">
        <v>216</v>
      </c>
      <c r="L452" s="4">
        <v>8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223</v>
      </c>
      <c r="F453" s="4">
        <f>ROUND(Source!AQ443,O453)</f>
        <v>0</v>
      </c>
      <c r="G453" s="4" t="s">
        <v>90</v>
      </c>
      <c r="H453" s="4" t="s">
        <v>91</v>
      </c>
      <c r="I453" s="4"/>
      <c r="J453" s="4"/>
      <c r="K453" s="4">
        <v>223</v>
      </c>
      <c r="L453" s="4">
        <v>9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229</v>
      </c>
      <c r="F454" s="4">
        <f>ROUND(Source!AZ443,O454)</f>
        <v>0</v>
      </c>
      <c r="G454" s="4" t="s">
        <v>92</v>
      </c>
      <c r="H454" s="4" t="s">
        <v>93</v>
      </c>
      <c r="I454" s="4"/>
      <c r="J454" s="4"/>
      <c r="K454" s="4">
        <v>229</v>
      </c>
      <c r="L454" s="4">
        <v>10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203</v>
      </c>
      <c r="F455" s="4">
        <f>ROUND(Source!Q443,O455)</f>
        <v>3934.82</v>
      </c>
      <c r="G455" s="4" t="s">
        <v>94</v>
      </c>
      <c r="H455" s="4" t="s">
        <v>95</v>
      </c>
      <c r="I455" s="4"/>
      <c r="J455" s="4"/>
      <c r="K455" s="4">
        <v>203</v>
      </c>
      <c r="L455" s="4">
        <v>11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3934.82</v>
      </c>
      <c r="X455" s="4">
        <v>1</v>
      </c>
      <c r="Y455" s="4">
        <v>3934.82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231</v>
      </c>
      <c r="F456" s="4">
        <f>ROUND(Source!BB443,O456)</f>
        <v>0</v>
      </c>
      <c r="G456" s="4" t="s">
        <v>96</v>
      </c>
      <c r="H456" s="4" t="s">
        <v>97</v>
      </c>
      <c r="I456" s="4"/>
      <c r="J456" s="4"/>
      <c r="K456" s="4">
        <v>231</v>
      </c>
      <c r="L456" s="4">
        <v>12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204</v>
      </c>
      <c r="F457" s="4">
        <f>ROUND(Source!R443,O457)</f>
        <v>2134.34</v>
      </c>
      <c r="G457" s="4" t="s">
        <v>98</v>
      </c>
      <c r="H457" s="4" t="s">
        <v>99</v>
      </c>
      <c r="I457" s="4"/>
      <c r="J457" s="4"/>
      <c r="K457" s="4">
        <v>204</v>
      </c>
      <c r="L457" s="4">
        <v>13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2134.34</v>
      </c>
      <c r="X457" s="4">
        <v>1</v>
      </c>
      <c r="Y457" s="4">
        <v>2134.34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205</v>
      </c>
      <c r="F458" s="4">
        <f>ROUND(Source!S443,O458)</f>
        <v>138558.29999999999</v>
      </c>
      <c r="G458" s="4" t="s">
        <v>100</v>
      </c>
      <c r="H458" s="4" t="s">
        <v>101</v>
      </c>
      <c r="I458" s="4"/>
      <c r="J458" s="4"/>
      <c r="K458" s="4">
        <v>205</v>
      </c>
      <c r="L458" s="4">
        <v>14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138558.29999999999</v>
      </c>
      <c r="X458" s="4">
        <v>1</v>
      </c>
      <c r="Y458" s="4">
        <v>138558.29999999999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232</v>
      </c>
      <c r="F459" s="4">
        <f>ROUND(Source!BC443,O459)</f>
        <v>0</v>
      </c>
      <c r="G459" s="4" t="s">
        <v>102</v>
      </c>
      <c r="H459" s="4" t="s">
        <v>103</v>
      </c>
      <c r="I459" s="4"/>
      <c r="J459" s="4"/>
      <c r="K459" s="4">
        <v>232</v>
      </c>
      <c r="L459" s="4">
        <v>15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214</v>
      </c>
      <c r="F460" s="4">
        <f>ROUND(Source!AS443,O460)</f>
        <v>0</v>
      </c>
      <c r="G460" s="4" t="s">
        <v>104</v>
      </c>
      <c r="H460" s="4" t="s">
        <v>105</v>
      </c>
      <c r="I460" s="4"/>
      <c r="J460" s="4"/>
      <c r="K460" s="4">
        <v>214</v>
      </c>
      <c r="L460" s="4">
        <v>16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215</v>
      </c>
      <c r="F461" s="4">
        <f>ROUND(Source!AT443,O461)</f>
        <v>0</v>
      </c>
      <c r="G461" s="4" t="s">
        <v>106</v>
      </c>
      <c r="H461" s="4" t="s">
        <v>107</v>
      </c>
      <c r="I461" s="4"/>
      <c r="J461" s="4"/>
      <c r="K461" s="4">
        <v>215</v>
      </c>
      <c r="L461" s="4">
        <v>17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217</v>
      </c>
      <c r="F462" s="4">
        <f>ROUND(Source!AU443,O462)</f>
        <v>256284.7</v>
      </c>
      <c r="G462" s="4" t="s">
        <v>108</v>
      </c>
      <c r="H462" s="4" t="s">
        <v>109</v>
      </c>
      <c r="I462" s="4"/>
      <c r="J462" s="4"/>
      <c r="K462" s="4">
        <v>217</v>
      </c>
      <c r="L462" s="4">
        <v>18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256284.7</v>
      </c>
      <c r="X462" s="4">
        <v>1</v>
      </c>
      <c r="Y462" s="4">
        <v>256284.7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230</v>
      </c>
      <c r="F463" s="4">
        <f>ROUND(Source!BA443,O463)</f>
        <v>0</v>
      </c>
      <c r="G463" s="4" t="s">
        <v>110</v>
      </c>
      <c r="H463" s="4" t="s">
        <v>111</v>
      </c>
      <c r="I463" s="4"/>
      <c r="J463" s="4"/>
      <c r="K463" s="4">
        <v>230</v>
      </c>
      <c r="L463" s="4">
        <v>19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206</v>
      </c>
      <c r="F464" s="4">
        <f>ROUND(Source!T443,O464)</f>
        <v>0</v>
      </c>
      <c r="G464" s="4" t="s">
        <v>112</v>
      </c>
      <c r="H464" s="4" t="s">
        <v>113</v>
      </c>
      <c r="I464" s="4"/>
      <c r="J464" s="4"/>
      <c r="K464" s="4">
        <v>206</v>
      </c>
      <c r="L464" s="4">
        <v>20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06" x14ac:dyDescent="0.2">
      <c r="A465" s="4">
        <v>50</v>
      </c>
      <c r="B465" s="4">
        <v>0</v>
      </c>
      <c r="C465" s="4">
        <v>0</v>
      </c>
      <c r="D465" s="4">
        <v>1</v>
      </c>
      <c r="E465" s="4">
        <v>207</v>
      </c>
      <c r="F465" s="4">
        <f>Source!U443</f>
        <v>211.71850000000003</v>
      </c>
      <c r="G465" s="4" t="s">
        <v>114</v>
      </c>
      <c r="H465" s="4" t="s">
        <v>115</v>
      </c>
      <c r="I465" s="4"/>
      <c r="J465" s="4"/>
      <c r="K465" s="4">
        <v>207</v>
      </c>
      <c r="L465" s="4">
        <v>21</v>
      </c>
      <c r="M465" s="4">
        <v>3</v>
      </c>
      <c r="N465" s="4" t="s">
        <v>3</v>
      </c>
      <c r="O465" s="4">
        <v>-1</v>
      </c>
      <c r="P465" s="4"/>
      <c r="Q465" s="4"/>
      <c r="R465" s="4"/>
      <c r="S465" s="4"/>
      <c r="T465" s="4"/>
      <c r="U465" s="4"/>
      <c r="V465" s="4"/>
      <c r="W465" s="4">
        <v>211.71850000000003</v>
      </c>
      <c r="X465" s="4">
        <v>1</v>
      </c>
      <c r="Y465" s="4">
        <v>211.71850000000003</v>
      </c>
      <c r="Z465" s="4"/>
      <c r="AA465" s="4"/>
      <c r="AB465" s="4"/>
    </row>
    <row r="466" spans="1:206" x14ac:dyDescent="0.2">
      <c r="A466" s="4">
        <v>50</v>
      </c>
      <c r="B466" s="4">
        <v>0</v>
      </c>
      <c r="C466" s="4">
        <v>0</v>
      </c>
      <c r="D466" s="4">
        <v>1</v>
      </c>
      <c r="E466" s="4">
        <v>208</v>
      </c>
      <c r="F466" s="4">
        <f>Source!V443</f>
        <v>0</v>
      </c>
      <c r="G466" s="4" t="s">
        <v>116</v>
      </c>
      <c r="H466" s="4" t="s">
        <v>117</v>
      </c>
      <c r="I466" s="4"/>
      <c r="J466" s="4"/>
      <c r="K466" s="4">
        <v>208</v>
      </c>
      <c r="L466" s="4">
        <v>22</v>
      </c>
      <c r="M466" s="4">
        <v>3</v>
      </c>
      <c r="N466" s="4" t="s">
        <v>3</v>
      </c>
      <c r="O466" s="4">
        <v>-1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06" x14ac:dyDescent="0.2">
      <c r="A467" s="4">
        <v>50</v>
      </c>
      <c r="B467" s="4">
        <v>0</v>
      </c>
      <c r="C467" s="4">
        <v>0</v>
      </c>
      <c r="D467" s="4">
        <v>1</v>
      </c>
      <c r="E467" s="4">
        <v>209</v>
      </c>
      <c r="F467" s="4">
        <f>ROUND(Source!W443,O467)</f>
        <v>0</v>
      </c>
      <c r="G467" s="4" t="s">
        <v>118</v>
      </c>
      <c r="H467" s="4" t="s">
        <v>119</v>
      </c>
      <c r="I467" s="4"/>
      <c r="J467" s="4"/>
      <c r="K467" s="4">
        <v>209</v>
      </c>
      <c r="L467" s="4">
        <v>23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06" x14ac:dyDescent="0.2">
      <c r="A468" s="4">
        <v>50</v>
      </c>
      <c r="B468" s="4">
        <v>0</v>
      </c>
      <c r="C468" s="4">
        <v>0</v>
      </c>
      <c r="D468" s="4">
        <v>1</v>
      </c>
      <c r="E468" s="4">
        <v>233</v>
      </c>
      <c r="F468" s="4">
        <f>ROUND(Source!BD443,O468)</f>
        <v>0</v>
      </c>
      <c r="G468" s="4" t="s">
        <v>120</v>
      </c>
      <c r="H468" s="4" t="s">
        <v>121</v>
      </c>
      <c r="I468" s="4"/>
      <c r="J468" s="4"/>
      <c r="K468" s="4">
        <v>233</v>
      </c>
      <c r="L468" s="4">
        <v>24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06" x14ac:dyDescent="0.2">
      <c r="A469" s="4">
        <v>50</v>
      </c>
      <c r="B469" s="4">
        <v>0</v>
      </c>
      <c r="C469" s="4">
        <v>0</v>
      </c>
      <c r="D469" s="4">
        <v>1</v>
      </c>
      <c r="E469" s="4">
        <v>210</v>
      </c>
      <c r="F469" s="4">
        <f>ROUND(Source!X443,O469)</f>
        <v>96990.83</v>
      </c>
      <c r="G469" s="4" t="s">
        <v>122</v>
      </c>
      <c r="H469" s="4" t="s">
        <v>123</v>
      </c>
      <c r="I469" s="4"/>
      <c r="J469" s="4"/>
      <c r="K469" s="4">
        <v>210</v>
      </c>
      <c r="L469" s="4">
        <v>25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96990.83</v>
      </c>
      <c r="X469" s="4">
        <v>1</v>
      </c>
      <c r="Y469" s="4">
        <v>96990.83</v>
      </c>
      <c r="Z469" s="4"/>
      <c r="AA469" s="4"/>
      <c r="AB469" s="4"/>
    </row>
    <row r="470" spans="1:206" x14ac:dyDescent="0.2">
      <c r="A470" s="4">
        <v>50</v>
      </c>
      <c r="B470" s="4">
        <v>0</v>
      </c>
      <c r="C470" s="4">
        <v>0</v>
      </c>
      <c r="D470" s="4">
        <v>1</v>
      </c>
      <c r="E470" s="4">
        <v>211</v>
      </c>
      <c r="F470" s="4">
        <f>ROUND(Source!Y443,O470)</f>
        <v>13855.84</v>
      </c>
      <c r="G470" s="4" t="s">
        <v>124</v>
      </c>
      <c r="H470" s="4" t="s">
        <v>125</v>
      </c>
      <c r="I470" s="4"/>
      <c r="J470" s="4"/>
      <c r="K470" s="4">
        <v>211</v>
      </c>
      <c r="L470" s="4">
        <v>26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13855.84</v>
      </c>
      <c r="X470" s="4">
        <v>1</v>
      </c>
      <c r="Y470" s="4">
        <v>13855.84</v>
      </c>
      <c r="Z470" s="4"/>
      <c r="AA470" s="4"/>
      <c r="AB470" s="4"/>
    </row>
    <row r="471" spans="1:206" x14ac:dyDescent="0.2">
      <c r="A471" s="4">
        <v>50</v>
      </c>
      <c r="B471" s="4">
        <v>0</v>
      </c>
      <c r="C471" s="4">
        <v>0</v>
      </c>
      <c r="D471" s="4">
        <v>1</v>
      </c>
      <c r="E471" s="4">
        <v>224</v>
      </c>
      <c r="F471" s="4">
        <f>ROUND(Source!AR443,O471)</f>
        <v>256284.7</v>
      </c>
      <c r="G471" s="4" t="s">
        <v>126</v>
      </c>
      <c r="H471" s="4" t="s">
        <v>127</v>
      </c>
      <c r="I471" s="4"/>
      <c r="J471" s="4"/>
      <c r="K471" s="4">
        <v>224</v>
      </c>
      <c r="L471" s="4">
        <v>27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256284.7</v>
      </c>
      <c r="X471" s="4">
        <v>1</v>
      </c>
      <c r="Y471" s="4">
        <v>256284.7</v>
      </c>
      <c r="Z471" s="4"/>
      <c r="AA471" s="4"/>
      <c r="AB471" s="4"/>
    </row>
    <row r="473" spans="1:206" x14ac:dyDescent="0.2">
      <c r="A473" s="2">
        <v>51</v>
      </c>
      <c r="B473" s="2">
        <f>B333</f>
        <v>1</v>
      </c>
      <c r="C473" s="2">
        <f>A333</f>
        <v>3</v>
      </c>
      <c r="D473" s="2">
        <f>ROW(A333)</f>
        <v>333</v>
      </c>
      <c r="E473" s="2"/>
      <c r="F473" s="2" t="str">
        <f>IF(F333&lt;&gt;"",F333,"")</f>
        <v>Новая локальная смета</v>
      </c>
      <c r="G473" s="2" t="str">
        <f>IF(G333&lt;&gt;"",G333,"")</f>
        <v>Техническое обслуживание инженерных систем ИТП</v>
      </c>
      <c r="H473" s="2">
        <v>0</v>
      </c>
      <c r="I473" s="2"/>
      <c r="J473" s="2"/>
      <c r="K473" s="2"/>
      <c r="L473" s="2"/>
      <c r="M473" s="2"/>
      <c r="N473" s="2"/>
      <c r="O473" s="2">
        <f t="shared" ref="O473:T473" si="380">ROUND(O443+AB473,2)</f>
        <v>143132.94</v>
      </c>
      <c r="P473" s="2">
        <f t="shared" si="380"/>
        <v>639.82000000000005</v>
      </c>
      <c r="Q473" s="2">
        <f t="shared" si="380"/>
        <v>3934.82</v>
      </c>
      <c r="R473" s="2">
        <f t="shared" si="380"/>
        <v>2134.34</v>
      </c>
      <c r="S473" s="2">
        <f t="shared" si="380"/>
        <v>138558.29999999999</v>
      </c>
      <c r="T473" s="2">
        <f t="shared" si="380"/>
        <v>0</v>
      </c>
      <c r="U473" s="2">
        <f>U443+AH473</f>
        <v>211.71850000000003</v>
      </c>
      <c r="V473" s="2">
        <f>V443+AI473</f>
        <v>0</v>
      </c>
      <c r="W473" s="2">
        <f>ROUND(W443+AJ473,2)</f>
        <v>0</v>
      </c>
      <c r="X473" s="2">
        <f>ROUND(X443+AK473,2)</f>
        <v>96990.83</v>
      </c>
      <c r="Y473" s="2">
        <f>ROUND(Y443+AL473,2)</f>
        <v>13855.84</v>
      </c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>
        <f t="shared" ref="AO473:BD473" si="381">ROUND(AO443+BX473,2)</f>
        <v>0</v>
      </c>
      <c r="AP473" s="2">
        <f t="shared" si="381"/>
        <v>0</v>
      </c>
      <c r="AQ473" s="2">
        <f t="shared" si="381"/>
        <v>0</v>
      </c>
      <c r="AR473" s="2">
        <f t="shared" si="381"/>
        <v>256284.7</v>
      </c>
      <c r="AS473" s="2">
        <f t="shared" si="381"/>
        <v>0</v>
      </c>
      <c r="AT473" s="2">
        <f t="shared" si="381"/>
        <v>0</v>
      </c>
      <c r="AU473" s="2">
        <f t="shared" si="381"/>
        <v>256284.7</v>
      </c>
      <c r="AV473" s="2">
        <f t="shared" si="381"/>
        <v>639.82000000000005</v>
      </c>
      <c r="AW473" s="2">
        <f t="shared" si="381"/>
        <v>639.82000000000005</v>
      </c>
      <c r="AX473" s="2">
        <f t="shared" si="381"/>
        <v>0</v>
      </c>
      <c r="AY473" s="2">
        <f t="shared" si="381"/>
        <v>639.82000000000005</v>
      </c>
      <c r="AZ473" s="2">
        <f t="shared" si="381"/>
        <v>0</v>
      </c>
      <c r="BA473" s="2">
        <f t="shared" si="381"/>
        <v>0</v>
      </c>
      <c r="BB473" s="2">
        <f t="shared" si="381"/>
        <v>0</v>
      </c>
      <c r="BC473" s="2">
        <f t="shared" si="381"/>
        <v>0</v>
      </c>
      <c r="BD473" s="2">
        <f t="shared" si="381"/>
        <v>0</v>
      </c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3"/>
      <c r="DH473" s="3"/>
      <c r="DI473" s="3"/>
      <c r="DJ473" s="3"/>
      <c r="DK473" s="3"/>
      <c r="DL473" s="3"/>
      <c r="DM473" s="3"/>
      <c r="DN473" s="3"/>
      <c r="DO473" s="3"/>
      <c r="DP473" s="3"/>
      <c r="DQ473" s="3"/>
      <c r="DR473" s="3"/>
      <c r="DS473" s="3"/>
      <c r="DT473" s="3"/>
      <c r="DU473" s="3"/>
      <c r="DV473" s="3"/>
      <c r="DW473" s="3"/>
      <c r="DX473" s="3"/>
      <c r="DY473" s="3"/>
      <c r="DZ473" s="3"/>
      <c r="EA473" s="3"/>
      <c r="EB473" s="3"/>
      <c r="EC473" s="3"/>
      <c r="ED473" s="3"/>
      <c r="EE473" s="3"/>
      <c r="EF473" s="3"/>
      <c r="EG473" s="3"/>
      <c r="EH473" s="3"/>
      <c r="EI473" s="3"/>
      <c r="EJ473" s="3"/>
      <c r="EK473" s="3"/>
      <c r="EL473" s="3"/>
      <c r="EM473" s="3"/>
      <c r="EN473" s="3"/>
      <c r="EO473" s="3"/>
      <c r="EP473" s="3"/>
      <c r="EQ473" s="3"/>
      <c r="ER473" s="3"/>
      <c r="ES473" s="3"/>
      <c r="ET473" s="3"/>
      <c r="EU473" s="3"/>
      <c r="EV473" s="3"/>
      <c r="EW473" s="3"/>
      <c r="EX473" s="3"/>
      <c r="EY473" s="3"/>
      <c r="EZ473" s="3"/>
      <c r="FA473" s="3"/>
      <c r="FB473" s="3"/>
      <c r="FC473" s="3"/>
      <c r="FD473" s="3"/>
      <c r="FE473" s="3"/>
      <c r="FF473" s="3"/>
      <c r="FG473" s="3"/>
      <c r="FH473" s="3"/>
      <c r="FI473" s="3"/>
      <c r="FJ473" s="3"/>
      <c r="FK473" s="3"/>
      <c r="FL473" s="3"/>
      <c r="FM473" s="3"/>
      <c r="FN473" s="3"/>
      <c r="FO473" s="3"/>
      <c r="FP473" s="3"/>
      <c r="FQ473" s="3"/>
      <c r="FR473" s="3"/>
      <c r="FS473" s="3"/>
      <c r="FT473" s="3"/>
      <c r="FU473" s="3"/>
      <c r="FV473" s="3"/>
      <c r="FW473" s="3"/>
      <c r="FX473" s="3"/>
      <c r="FY473" s="3"/>
      <c r="FZ473" s="3"/>
      <c r="GA473" s="3"/>
      <c r="GB473" s="3"/>
      <c r="GC473" s="3"/>
      <c r="GD473" s="3"/>
      <c r="GE473" s="3"/>
      <c r="GF473" s="3"/>
      <c r="GG473" s="3"/>
      <c r="GH473" s="3"/>
      <c r="GI473" s="3"/>
      <c r="GJ473" s="3"/>
      <c r="GK473" s="3"/>
      <c r="GL473" s="3"/>
      <c r="GM473" s="3"/>
      <c r="GN473" s="3"/>
      <c r="GO473" s="3"/>
      <c r="GP473" s="3"/>
      <c r="GQ473" s="3"/>
      <c r="GR473" s="3"/>
      <c r="GS473" s="3"/>
      <c r="GT473" s="3"/>
      <c r="GU473" s="3"/>
      <c r="GV473" s="3"/>
      <c r="GW473" s="3"/>
      <c r="GX473" s="3">
        <v>0</v>
      </c>
    </row>
    <row r="475" spans="1:206" x14ac:dyDescent="0.2">
      <c r="A475" s="4">
        <v>50</v>
      </c>
      <c r="B475" s="4">
        <v>0</v>
      </c>
      <c r="C475" s="4">
        <v>0</v>
      </c>
      <c r="D475" s="4">
        <v>1</v>
      </c>
      <c r="E475" s="4">
        <v>201</v>
      </c>
      <c r="F475" s="4">
        <f>ROUND(Source!O473,O475)</f>
        <v>143132.94</v>
      </c>
      <c r="G475" s="4" t="s">
        <v>74</v>
      </c>
      <c r="H475" s="4" t="s">
        <v>75</v>
      </c>
      <c r="I475" s="4"/>
      <c r="J475" s="4"/>
      <c r="K475" s="4">
        <v>201</v>
      </c>
      <c r="L475" s="4">
        <v>1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143132.94</v>
      </c>
      <c r="X475" s="4">
        <v>1</v>
      </c>
      <c r="Y475" s="4">
        <v>143132.94</v>
      </c>
      <c r="Z475" s="4"/>
      <c r="AA475" s="4"/>
      <c r="AB475" s="4"/>
    </row>
    <row r="476" spans="1:206" x14ac:dyDescent="0.2">
      <c r="A476" s="4">
        <v>50</v>
      </c>
      <c r="B476" s="4">
        <v>0</v>
      </c>
      <c r="C476" s="4">
        <v>0</v>
      </c>
      <c r="D476" s="4">
        <v>1</v>
      </c>
      <c r="E476" s="4">
        <v>202</v>
      </c>
      <c r="F476" s="4">
        <f>ROUND(Source!P473,O476)</f>
        <v>639.82000000000005</v>
      </c>
      <c r="G476" s="4" t="s">
        <v>76</v>
      </c>
      <c r="H476" s="4" t="s">
        <v>77</v>
      </c>
      <c r="I476" s="4"/>
      <c r="J476" s="4"/>
      <c r="K476" s="4">
        <v>202</v>
      </c>
      <c r="L476" s="4">
        <v>2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639.82000000000005</v>
      </c>
      <c r="X476" s="4">
        <v>1</v>
      </c>
      <c r="Y476" s="4">
        <v>639.82000000000005</v>
      </c>
      <c r="Z476" s="4"/>
      <c r="AA476" s="4"/>
      <c r="AB476" s="4"/>
    </row>
    <row r="477" spans="1:206" x14ac:dyDescent="0.2">
      <c r="A477" s="4">
        <v>50</v>
      </c>
      <c r="B477" s="4">
        <v>0</v>
      </c>
      <c r="C477" s="4">
        <v>0</v>
      </c>
      <c r="D477" s="4">
        <v>1</v>
      </c>
      <c r="E477" s="4">
        <v>222</v>
      </c>
      <c r="F477" s="4">
        <f>ROUND(Source!AO473,O477)</f>
        <v>0</v>
      </c>
      <c r="G477" s="4" t="s">
        <v>78</v>
      </c>
      <c r="H477" s="4" t="s">
        <v>79</v>
      </c>
      <c r="I477" s="4"/>
      <c r="J477" s="4"/>
      <c r="K477" s="4">
        <v>222</v>
      </c>
      <c r="L477" s="4">
        <v>3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06" x14ac:dyDescent="0.2">
      <c r="A478" s="4">
        <v>50</v>
      </c>
      <c r="B478" s="4">
        <v>0</v>
      </c>
      <c r="C478" s="4">
        <v>0</v>
      </c>
      <c r="D478" s="4">
        <v>1</v>
      </c>
      <c r="E478" s="4">
        <v>225</v>
      </c>
      <c r="F478" s="4">
        <f>ROUND(Source!AV473,O478)</f>
        <v>639.82000000000005</v>
      </c>
      <c r="G478" s="4" t="s">
        <v>80</v>
      </c>
      <c r="H478" s="4" t="s">
        <v>81</v>
      </c>
      <c r="I478" s="4"/>
      <c r="J478" s="4"/>
      <c r="K478" s="4">
        <v>225</v>
      </c>
      <c r="L478" s="4">
        <v>4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639.82000000000005</v>
      </c>
      <c r="X478" s="4">
        <v>1</v>
      </c>
      <c r="Y478" s="4">
        <v>639.82000000000005</v>
      </c>
      <c r="Z478" s="4"/>
      <c r="AA478" s="4"/>
      <c r="AB478" s="4"/>
    </row>
    <row r="479" spans="1:206" x14ac:dyDescent="0.2">
      <c r="A479" s="4">
        <v>50</v>
      </c>
      <c r="B479" s="4">
        <v>0</v>
      </c>
      <c r="C479" s="4">
        <v>0</v>
      </c>
      <c r="D479" s="4">
        <v>1</v>
      </c>
      <c r="E479" s="4">
        <v>226</v>
      </c>
      <c r="F479" s="4">
        <f>ROUND(Source!AW473,O479)</f>
        <v>639.82000000000005</v>
      </c>
      <c r="G479" s="4" t="s">
        <v>82</v>
      </c>
      <c r="H479" s="4" t="s">
        <v>83</v>
      </c>
      <c r="I479" s="4"/>
      <c r="J479" s="4"/>
      <c r="K479" s="4">
        <v>226</v>
      </c>
      <c r="L479" s="4">
        <v>5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639.82000000000005</v>
      </c>
      <c r="X479" s="4">
        <v>1</v>
      </c>
      <c r="Y479" s="4">
        <v>639.82000000000005</v>
      </c>
      <c r="Z479" s="4"/>
      <c r="AA479" s="4"/>
      <c r="AB479" s="4"/>
    </row>
    <row r="480" spans="1:206" x14ac:dyDescent="0.2">
      <c r="A480" s="4">
        <v>50</v>
      </c>
      <c r="B480" s="4">
        <v>0</v>
      </c>
      <c r="C480" s="4">
        <v>0</v>
      </c>
      <c r="D480" s="4">
        <v>1</v>
      </c>
      <c r="E480" s="4">
        <v>227</v>
      </c>
      <c r="F480" s="4">
        <f>ROUND(Source!AX473,O480)</f>
        <v>0</v>
      </c>
      <c r="G480" s="4" t="s">
        <v>84</v>
      </c>
      <c r="H480" s="4" t="s">
        <v>85</v>
      </c>
      <c r="I480" s="4"/>
      <c r="J480" s="4"/>
      <c r="K480" s="4">
        <v>227</v>
      </c>
      <c r="L480" s="4">
        <v>6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228</v>
      </c>
      <c r="F481" s="4">
        <f>ROUND(Source!AY473,O481)</f>
        <v>639.82000000000005</v>
      </c>
      <c r="G481" s="4" t="s">
        <v>86</v>
      </c>
      <c r="H481" s="4" t="s">
        <v>87</v>
      </c>
      <c r="I481" s="4"/>
      <c r="J481" s="4"/>
      <c r="K481" s="4">
        <v>228</v>
      </c>
      <c r="L481" s="4">
        <v>7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639.82000000000005</v>
      </c>
      <c r="X481" s="4">
        <v>1</v>
      </c>
      <c r="Y481" s="4">
        <v>639.82000000000005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216</v>
      </c>
      <c r="F482" s="4">
        <f>ROUND(Source!AP473,O482)</f>
        <v>0</v>
      </c>
      <c r="G482" s="4" t="s">
        <v>88</v>
      </c>
      <c r="H482" s="4" t="s">
        <v>89</v>
      </c>
      <c r="I482" s="4"/>
      <c r="J482" s="4"/>
      <c r="K482" s="4">
        <v>216</v>
      </c>
      <c r="L482" s="4">
        <v>8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223</v>
      </c>
      <c r="F483" s="4">
        <f>ROUND(Source!AQ473,O483)</f>
        <v>0</v>
      </c>
      <c r="G483" s="4" t="s">
        <v>90</v>
      </c>
      <c r="H483" s="4" t="s">
        <v>91</v>
      </c>
      <c r="I483" s="4"/>
      <c r="J483" s="4"/>
      <c r="K483" s="4">
        <v>223</v>
      </c>
      <c r="L483" s="4">
        <v>9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229</v>
      </c>
      <c r="F484" s="4">
        <f>ROUND(Source!AZ473,O484)</f>
        <v>0</v>
      </c>
      <c r="G484" s="4" t="s">
        <v>92</v>
      </c>
      <c r="H484" s="4" t="s">
        <v>93</v>
      </c>
      <c r="I484" s="4"/>
      <c r="J484" s="4"/>
      <c r="K484" s="4">
        <v>229</v>
      </c>
      <c r="L484" s="4">
        <v>10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203</v>
      </c>
      <c r="F485" s="4">
        <f>ROUND(Source!Q473,O485)</f>
        <v>3934.82</v>
      </c>
      <c r="G485" s="4" t="s">
        <v>94</v>
      </c>
      <c r="H485" s="4" t="s">
        <v>95</v>
      </c>
      <c r="I485" s="4"/>
      <c r="J485" s="4"/>
      <c r="K485" s="4">
        <v>203</v>
      </c>
      <c r="L485" s="4">
        <v>11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3934.82</v>
      </c>
      <c r="X485" s="4">
        <v>1</v>
      </c>
      <c r="Y485" s="4">
        <v>3934.82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231</v>
      </c>
      <c r="F486" s="4">
        <f>ROUND(Source!BB473,O486)</f>
        <v>0</v>
      </c>
      <c r="G486" s="4" t="s">
        <v>96</v>
      </c>
      <c r="H486" s="4" t="s">
        <v>97</v>
      </c>
      <c r="I486" s="4"/>
      <c r="J486" s="4"/>
      <c r="K486" s="4">
        <v>231</v>
      </c>
      <c r="L486" s="4">
        <v>12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204</v>
      </c>
      <c r="F487" s="4">
        <f>ROUND(Source!R473,O487)</f>
        <v>2134.34</v>
      </c>
      <c r="G487" s="4" t="s">
        <v>98</v>
      </c>
      <c r="H487" s="4" t="s">
        <v>99</v>
      </c>
      <c r="I487" s="4"/>
      <c r="J487" s="4"/>
      <c r="K487" s="4">
        <v>204</v>
      </c>
      <c r="L487" s="4">
        <v>13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2134.34</v>
      </c>
      <c r="X487" s="4">
        <v>1</v>
      </c>
      <c r="Y487" s="4">
        <v>2134.34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205</v>
      </c>
      <c r="F488" s="4">
        <f>ROUND(Source!S473,O488)</f>
        <v>138558.29999999999</v>
      </c>
      <c r="G488" s="4" t="s">
        <v>100</v>
      </c>
      <c r="H488" s="4" t="s">
        <v>101</v>
      </c>
      <c r="I488" s="4"/>
      <c r="J488" s="4"/>
      <c r="K488" s="4">
        <v>205</v>
      </c>
      <c r="L488" s="4">
        <v>14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138558.29999999999</v>
      </c>
      <c r="X488" s="4">
        <v>1</v>
      </c>
      <c r="Y488" s="4">
        <v>138558.29999999999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232</v>
      </c>
      <c r="F489" s="4">
        <f>ROUND(Source!BC473,O489)</f>
        <v>0</v>
      </c>
      <c r="G489" s="4" t="s">
        <v>102</v>
      </c>
      <c r="H489" s="4" t="s">
        <v>103</v>
      </c>
      <c r="I489" s="4"/>
      <c r="J489" s="4"/>
      <c r="K489" s="4">
        <v>232</v>
      </c>
      <c r="L489" s="4">
        <v>15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214</v>
      </c>
      <c r="F490" s="4">
        <f>ROUND(Source!AS473,O490)</f>
        <v>0</v>
      </c>
      <c r="G490" s="4" t="s">
        <v>104</v>
      </c>
      <c r="H490" s="4" t="s">
        <v>105</v>
      </c>
      <c r="I490" s="4"/>
      <c r="J490" s="4"/>
      <c r="K490" s="4">
        <v>214</v>
      </c>
      <c r="L490" s="4">
        <v>16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215</v>
      </c>
      <c r="F491" s="4">
        <f>ROUND(Source!AT473,O491)</f>
        <v>0</v>
      </c>
      <c r="G491" s="4" t="s">
        <v>106</v>
      </c>
      <c r="H491" s="4" t="s">
        <v>107</v>
      </c>
      <c r="I491" s="4"/>
      <c r="J491" s="4"/>
      <c r="K491" s="4">
        <v>215</v>
      </c>
      <c r="L491" s="4">
        <v>17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217</v>
      </c>
      <c r="F492" s="4">
        <f>ROUND(Source!AU473,O492)</f>
        <v>256284.7</v>
      </c>
      <c r="G492" s="4" t="s">
        <v>108</v>
      </c>
      <c r="H492" s="4" t="s">
        <v>109</v>
      </c>
      <c r="I492" s="4"/>
      <c r="J492" s="4"/>
      <c r="K492" s="4">
        <v>217</v>
      </c>
      <c r="L492" s="4">
        <v>18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256284.7</v>
      </c>
      <c r="X492" s="4">
        <v>1</v>
      </c>
      <c r="Y492" s="4">
        <v>256284.7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230</v>
      </c>
      <c r="F493" s="4">
        <f>ROUND(Source!BA473,O493)</f>
        <v>0</v>
      </c>
      <c r="G493" s="4" t="s">
        <v>110</v>
      </c>
      <c r="H493" s="4" t="s">
        <v>111</v>
      </c>
      <c r="I493" s="4"/>
      <c r="J493" s="4"/>
      <c r="K493" s="4">
        <v>230</v>
      </c>
      <c r="L493" s="4">
        <v>19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206</v>
      </c>
      <c r="F494" s="4">
        <f>ROUND(Source!T473,O494)</f>
        <v>0</v>
      </c>
      <c r="G494" s="4" t="s">
        <v>112</v>
      </c>
      <c r="H494" s="4" t="s">
        <v>113</v>
      </c>
      <c r="I494" s="4"/>
      <c r="J494" s="4"/>
      <c r="K494" s="4">
        <v>206</v>
      </c>
      <c r="L494" s="4">
        <v>20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207</v>
      </c>
      <c r="F495" s="4">
        <f>Source!U473</f>
        <v>211.71850000000003</v>
      </c>
      <c r="G495" s="4" t="s">
        <v>114</v>
      </c>
      <c r="H495" s="4" t="s">
        <v>115</v>
      </c>
      <c r="I495" s="4"/>
      <c r="J495" s="4"/>
      <c r="K495" s="4">
        <v>207</v>
      </c>
      <c r="L495" s="4">
        <v>21</v>
      </c>
      <c r="M495" s="4">
        <v>3</v>
      </c>
      <c r="N495" s="4" t="s">
        <v>3</v>
      </c>
      <c r="O495" s="4">
        <v>-1</v>
      </c>
      <c r="P495" s="4"/>
      <c r="Q495" s="4"/>
      <c r="R495" s="4"/>
      <c r="S495" s="4"/>
      <c r="T495" s="4"/>
      <c r="U495" s="4"/>
      <c r="V495" s="4"/>
      <c r="W495" s="4">
        <v>211.71850000000003</v>
      </c>
      <c r="X495" s="4">
        <v>1</v>
      </c>
      <c r="Y495" s="4">
        <v>211.71850000000003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208</v>
      </c>
      <c r="F496" s="4">
        <f>Source!V473</f>
        <v>0</v>
      </c>
      <c r="G496" s="4" t="s">
        <v>116</v>
      </c>
      <c r="H496" s="4" t="s">
        <v>117</v>
      </c>
      <c r="I496" s="4"/>
      <c r="J496" s="4"/>
      <c r="K496" s="4">
        <v>208</v>
      </c>
      <c r="L496" s="4">
        <v>22</v>
      </c>
      <c r="M496" s="4">
        <v>3</v>
      </c>
      <c r="N496" s="4" t="s">
        <v>3</v>
      </c>
      <c r="O496" s="4">
        <v>-1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06" x14ac:dyDescent="0.2">
      <c r="A497" s="4">
        <v>50</v>
      </c>
      <c r="B497" s="4">
        <v>0</v>
      </c>
      <c r="C497" s="4">
        <v>0</v>
      </c>
      <c r="D497" s="4">
        <v>1</v>
      </c>
      <c r="E497" s="4">
        <v>209</v>
      </c>
      <c r="F497" s="4">
        <f>ROUND(Source!W473,O497)</f>
        <v>0</v>
      </c>
      <c r="G497" s="4" t="s">
        <v>118</v>
      </c>
      <c r="H497" s="4" t="s">
        <v>119</v>
      </c>
      <c r="I497" s="4"/>
      <c r="J497" s="4"/>
      <c r="K497" s="4">
        <v>209</v>
      </c>
      <c r="L497" s="4">
        <v>23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06" x14ac:dyDescent="0.2">
      <c r="A498" s="4">
        <v>50</v>
      </c>
      <c r="B498" s="4">
        <v>0</v>
      </c>
      <c r="C498" s="4">
        <v>0</v>
      </c>
      <c r="D498" s="4">
        <v>1</v>
      </c>
      <c r="E498" s="4">
        <v>233</v>
      </c>
      <c r="F498" s="4">
        <f>ROUND(Source!BD473,O498)</f>
        <v>0</v>
      </c>
      <c r="G498" s="4" t="s">
        <v>120</v>
      </c>
      <c r="H498" s="4" t="s">
        <v>121</v>
      </c>
      <c r="I498" s="4"/>
      <c r="J498" s="4"/>
      <c r="K498" s="4">
        <v>233</v>
      </c>
      <c r="L498" s="4">
        <v>24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210</v>
      </c>
      <c r="F499" s="4">
        <f>ROUND(Source!X473,O499)</f>
        <v>96990.83</v>
      </c>
      <c r="G499" s="4" t="s">
        <v>122</v>
      </c>
      <c r="H499" s="4" t="s">
        <v>123</v>
      </c>
      <c r="I499" s="4"/>
      <c r="J499" s="4"/>
      <c r="K499" s="4">
        <v>210</v>
      </c>
      <c r="L499" s="4">
        <v>25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96990.83</v>
      </c>
      <c r="X499" s="4">
        <v>1</v>
      </c>
      <c r="Y499" s="4">
        <v>96990.83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211</v>
      </c>
      <c r="F500" s="4">
        <f>ROUND(Source!Y473,O500)</f>
        <v>13855.84</v>
      </c>
      <c r="G500" s="4" t="s">
        <v>124</v>
      </c>
      <c r="H500" s="4" t="s">
        <v>125</v>
      </c>
      <c r="I500" s="4"/>
      <c r="J500" s="4"/>
      <c r="K500" s="4">
        <v>211</v>
      </c>
      <c r="L500" s="4">
        <v>26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13855.84</v>
      </c>
      <c r="X500" s="4">
        <v>1</v>
      </c>
      <c r="Y500" s="4">
        <v>13855.84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224</v>
      </c>
      <c r="F501" s="4">
        <f>ROUND(Source!AR473,O501)</f>
        <v>256284.7</v>
      </c>
      <c r="G501" s="4" t="s">
        <v>126</v>
      </c>
      <c r="H501" s="4" t="s">
        <v>127</v>
      </c>
      <c r="I501" s="4"/>
      <c r="J501" s="4"/>
      <c r="K501" s="4">
        <v>224</v>
      </c>
      <c r="L501" s="4">
        <v>27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256284.7</v>
      </c>
      <c r="X501" s="4">
        <v>1</v>
      </c>
      <c r="Y501" s="4">
        <v>256284.7</v>
      </c>
      <c r="Z501" s="4"/>
      <c r="AA501" s="4"/>
      <c r="AB501" s="4"/>
    </row>
    <row r="503" spans="1:206" x14ac:dyDescent="0.2">
      <c r="A503" s="1">
        <v>3</v>
      </c>
      <c r="B503" s="1">
        <v>1</v>
      </c>
      <c r="C503" s="1"/>
      <c r="D503" s="1">
        <f>ROW(A624)</f>
        <v>624</v>
      </c>
      <c r="E503" s="1"/>
      <c r="F503" s="1" t="s">
        <v>12</v>
      </c>
      <c r="G503" s="1" t="s">
        <v>400</v>
      </c>
      <c r="H503" s="1" t="s">
        <v>3</v>
      </c>
      <c r="I503" s="1">
        <v>0</v>
      </c>
      <c r="J503" s="1" t="s">
        <v>3</v>
      </c>
      <c r="K503" s="1">
        <v>0</v>
      </c>
      <c r="L503" s="1" t="s">
        <v>3</v>
      </c>
      <c r="M503" s="1" t="s">
        <v>3</v>
      </c>
      <c r="N503" s="1"/>
      <c r="O503" s="1"/>
      <c r="P503" s="1"/>
      <c r="Q503" s="1"/>
      <c r="R503" s="1"/>
      <c r="S503" s="1">
        <v>0</v>
      </c>
      <c r="T503" s="1"/>
      <c r="U503" s="1" t="s">
        <v>3</v>
      </c>
      <c r="V503" s="1">
        <v>0</v>
      </c>
      <c r="W503" s="1"/>
      <c r="X503" s="1"/>
      <c r="Y503" s="1"/>
      <c r="Z503" s="1"/>
      <c r="AA503" s="1"/>
      <c r="AB503" s="1" t="s">
        <v>3</v>
      </c>
      <c r="AC503" s="1" t="s">
        <v>3</v>
      </c>
      <c r="AD503" s="1" t="s">
        <v>3</v>
      </c>
      <c r="AE503" s="1" t="s">
        <v>3</v>
      </c>
      <c r="AF503" s="1" t="s">
        <v>3</v>
      </c>
      <c r="AG503" s="1" t="s">
        <v>3</v>
      </c>
      <c r="AH503" s="1"/>
      <c r="AI503" s="1"/>
      <c r="AJ503" s="1"/>
      <c r="AK503" s="1"/>
      <c r="AL503" s="1"/>
      <c r="AM503" s="1"/>
      <c r="AN503" s="1"/>
      <c r="AO503" s="1"/>
      <c r="AP503" s="1" t="s">
        <v>3</v>
      </c>
      <c r="AQ503" s="1" t="s">
        <v>3</v>
      </c>
      <c r="AR503" s="1" t="s">
        <v>3</v>
      </c>
      <c r="AS503" s="1"/>
      <c r="AT503" s="1"/>
      <c r="AU503" s="1"/>
      <c r="AV503" s="1"/>
      <c r="AW503" s="1"/>
      <c r="AX503" s="1"/>
      <c r="AY503" s="1"/>
      <c r="AZ503" s="1" t="s">
        <v>3</v>
      </c>
      <c r="BA503" s="1"/>
      <c r="BB503" s="1" t="s">
        <v>3</v>
      </c>
      <c r="BC503" s="1" t="s">
        <v>3</v>
      </c>
      <c r="BD503" s="1" t="s">
        <v>3</v>
      </c>
      <c r="BE503" s="1" t="s">
        <v>3</v>
      </c>
      <c r="BF503" s="1" t="s">
        <v>3</v>
      </c>
      <c r="BG503" s="1" t="s">
        <v>3</v>
      </c>
      <c r="BH503" s="1" t="s">
        <v>3</v>
      </c>
      <c r="BI503" s="1" t="s">
        <v>3</v>
      </c>
      <c r="BJ503" s="1" t="s">
        <v>3</v>
      </c>
      <c r="BK503" s="1" t="s">
        <v>3</v>
      </c>
      <c r="BL503" s="1" t="s">
        <v>3</v>
      </c>
      <c r="BM503" s="1" t="s">
        <v>3</v>
      </c>
      <c r="BN503" s="1" t="s">
        <v>3</v>
      </c>
      <c r="BO503" s="1" t="s">
        <v>3</v>
      </c>
      <c r="BP503" s="1" t="s">
        <v>3</v>
      </c>
      <c r="BQ503" s="1"/>
      <c r="BR503" s="1"/>
      <c r="BS503" s="1"/>
      <c r="BT503" s="1"/>
      <c r="BU503" s="1"/>
      <c r="BV503" s="1"/>
      <c r="BW503" s="1"/>
      <c r="BX503" s="1">
        <v>0</v>
      </c>
      <c r="BY503" s="1"/>
      <c r="BZ503" s="1"/>
      <c r="CA503" s="1"/>
      <c r="CB503" s="1"/>
      <c r="CC503" s="1"/>
      <c r="CD503" s="1"/>
      <c r="CE503" s="1"/>
      <c r="CF503" s="1">
        <v>0</v>
      </c>
      <c r="CG503" s="1">
        <v>0</v>
      </c>
      <c r="CH503" s="1"/>
      <c r="CI503" s="1" t="s">
        <v>3</v>
      </c>
      <c r="CJ503" s="1" t="s">
        <v>3</v>
      </c>
      <c r="CK503" t="s">
        <v>3</v>
      </c>
      <c r="CL503" t="s">
        <v>3</v>
      </c>
      <c r="CM503" t="s">
        <v>3</v>
      </c>
      <c r="CN503" t="s">
        <v>3</v>
      </c>
      <c r="CO503" t="s">
        <v>3</v>
      </c>
      <c r="CP503" t="s">
        <v>3</v>
      </c>
      <c r="CQ503" t="s">
        <v>3</v>
      </c>
    </row>
    <row r="505" spans="1:206" x14ac:dyDescent="0.2">
      <c r="A505" s="2">
        <v>52</v>
      </c>
      <c r="B505" s="2">
        <f t="shared" ref="B505:G505" si="382">B624</f>
        <v>1</v>
      </c>
      <c r="C505" s="2">
        <f t="shared" si="382"/>
        <v>3</v>
      </c>
      <c r="D505" s="2">
        <f t="shared" si="382"/>
        <v>503</v>
      </c>
      <c r="E505" s="2">
        <f t="shared" si="382"/>
        <v>0</v>
      </c>
      <c r="F505" s="2" t="str">
        <f t="shared" si="382"/>
        <v>Новая локальная смета</v>
      </c>
      <c r="G505" s="2" t="str">
        <f t="shared" si="382"/>
        <v>Техническое обслуживание вентиляции</v>
      </c>
      <c r="H505" s="2"/>
      <c r="I505" s="2"/>
      <c r="J505" s="2"/>
      <c r="K505" s="2"/>
      <c r="L505" s="2"/>
      <c r="M505" s="2"/>
      <c r="N505" s="2"/>
      <c r="O505" s="2">
        <f t="shared" ref="O505:AT505" si="383">O624</f>
        <v>76775.199999999997</v>
      </c>
      <c r="P505" s="2">
        <f t="shared" si="383"/>
        <v>216.48</v>
      </c>
      <c r="Q505" s="2">
        <f t="shared" si="383"/>
        <v>105.64</v>
      </c>
      <c r="R505" s="2">
        <f t="shared" si="383"/>
        <v>0.64</v>
      </c>
      <c r="S505" s="2">
        <f t="shared" si="383"/>
        <v>76453.08</v>
      </c>
      <c r="T505" s="2">
        <f t="shared" si="383"/>
        <v>0</v>
      </c>
      <c r="U505" s="2">
        <f t="shared" si="383"/>
        <v>134.12</v>
      </c>
      <c r="V505" s="2">
        <f t="shared" si="383"/>
        <v>0</v>
      </c>
      <c r="W505" s="2">
        <f t="shared" si="383"/>
        <v>0</v>
      </c>
      <c r="X505" s="2">
        <f t="shared" si="383"/>
        <v>53517.15</v>
      </c>
      <c r="Y505" s="2">
        <f t="shared" si="383"/>
        <v>7645.31</v>
      </c>
      <c r="Z505" s="2">
        <f t="shared" si="383"/>
        <v>0</v>
      </c>
      <c r="AA505" s="2">
        <f t="shared" si="383"/>
        <v>0</v>
      </c>
      <c r="AB505" s="2">
        <f t="shared" si="383"/>
        <v>0</v>
      </c>
      <c r="AC505" s="2">
        <f t="shared" si="383"/>
        <v>0</v>
      </c>
      <c r="AD505" s="2">
        <f t="shared" si="383"/>
        <v>0</v>
      </c>
      <c r="AE505" s="2">
        <f t="shared" si="383"/>
        <v>0</v>
      </c>
      <c r="AF505" s="2">
        <f t="shared" si="383"/>
        <v>0</v>
      </c>
      <c r="AG505" s="2">
        <f t="shared" si="383"/>
        <v>0</v>
      </c>
      <c r="AH505" s="2">
        <f t="shared" si="383"/>
        <v>0</v>
      </c>
      <c r="AI505" s="2">
        <f t="shared" si="383"/>
        <v>0</v>
      </c>
      <c r="AJ505" s="2">
        <f t="shared" si="383"/>
        <v>0</v>
      </c>
      <c r="AK505" s="2">
        <f t="shared" si="383"/>
        <v>0</v>
      </c>
      <c r="AL505" s="2">
        <f t="shared" si="383"/>
        <v>0</v>
      </c>
      <c r="AM505" s="2">
        <f t="shared" si="383"/>
        <v>0</v>
      </c>
      <c r="AN505" s="2">
        <f t="shared" si="383"/>
        <v>0</v>
      </c>
      <c r="AO505" s="2">
        <f t="shared" si="383"/>
        <v>0</v>
      </c>
      <c r="AP505" s="2">
        <f t="shared" si="383"/>
        <v>0</v>
      </c>
      <c r="AQ505" s="2">
        <f t="shared" si="383"/>
        <v>0</v>
      </c>
      <c r="AR505" s="2">
        <f t="shared" si="383"/>
        <v>137938.35</v>
      </c>
      <c r="AS505" s="2">
        <f t="shared" si="383"/>
        <v>0</v>
      </c>
      <c r="AT505" s="2">
        <f t="shared" si="383"/>
        <v>0</v>
      </c>
      <c r="AU505" s="2">
        <f t="shared" ref="AU505:BZ505" si="384">AU624</f>
        <v>137938.35</v>
      </c>
      <c r="AV505" s="2">
        <f t="shared" si="384"/>
        <v>216.48</v>
      </c>
      <c r="AW505" s="2">
        <f t="shared" si="384"/>
        <v>216.48</v>
      </c>
      <c r="AX505" s="2">
        <f t="shared" si="384"/>
        <v>0</v>
      </c>
      <c r="AY505" s="2">
        <f t="shared" si="384"/>
        <v>216.48</v>
      </c>
      <c r="AZ505" s="2">
        <f t="shared" si="384"/>
        <v>0</v>
      </c>
      <c r="BA505" s="2">
        <f t="shared" si="384"/>
        <v>0</v>
      </c>
      <c r="BB505" s="2">
        <f t="shared" si="384"/>
        <v>0</v>
      </c>
      <c r="BC505" s="2">
        <f t="shared" si="384"/>
        <v>0</v>
      </c>
      <c r="BD505" s="2">
        <f t="shared" si="384"/>
        <v>0</v>
      </c>
      <c r="BE505" s="2">
        <f t="shared" si="384"/>
        <v>0</v>
      </c>
      <c r="BF505" s="2">
        <f t="shared" si="384"/>
        <v>0</v>
      </c>
      <c r="BG505" s="2">
        <f t="shared" si="384"/>
        <v>0</v>
      </c>
      <c r="BH505" s="2">
        <f t="shared" si="384"/>
        <v>0</v>
      </c>
      <c r="BI505" s="2">
        <f t="shared" si="384"/>
        <v>0</v>
      </c>
      <c r="BJ505" s="2">
        <f t="shared" si="384"/>
        <v>0</v>
      </c>
      <c r="BK505" s="2">
        <f t="shared" si="384"/>
        <v>0</v>
      </c>
      <c r="BL505" s="2">
        <f t="shared" si="384"/>
        <v>0</v>
      </c>
      <c r="BM505" s="2">
        <f t="shared" si="384"/>
        <v>0</v>
      </c>
      <c r="BN505" s="2">
        <f t="shared" si="384"/>
        <v>0</v>
      </c>
      <c r="BO505" s="2">
        <f t="shared" si="384"/>
        <v>0</v>
      </c>
      <c r="BP505" s="2">
        <f t="shared" si="384"/>
        <v>0</v>
      </c>
      <c r="BQ505" s="2">
        <f t="shared" si="384"/>
        <v>0</v>
      </c>
      <c r="BR505" s="2">
        <f t="shared" si="384"/>
        <v>0</v>
      </c>
      <c r="BS505" s="2">
        <f t="shared" si="384"/>
        <v>0</v>
      </c>
      <c r="BT505" s="2">
        <f t="shared" si="384"/>
        <v>0</v>
      </c>
      <c r="BU505" s="2">
        <f t="shared" si="384"/>
        <v>0</v>
      </c>
      <c r="BV505" s="2">
        <f t="shared" si="384"/>
        <v>0</v>
      </c>
      <c r="BW505" s="2">
        <f t="shared" si="384"/>
        <v>0</v>
      </c>
      <c r="BX505" s="2">
        <f t="shared" si="384"/>
        <v>0</v>
      </c>
      <c r="BY505" s="2">
        <f t="shared" si="384"/>
        <v>0</v>
      </c>
      <c r="BZ505" s="2">
        <f t="shared" si="384"/>
        <v>0</v>
      </c>
      <c r="CA505" s="2">
        <f t="shared" ref="CA505:DF505" si="385">CA624</f>
        <v>0</v>
      </c>
      <c r="CB505" s="2">
        <f t="shared" si="385"/>
        <v>0</v>
      </c>
      <c r="CC505" s="2">
        <f t="shared" si="385"/>
        <v>0</v>
      </c>
      <c r="CD505" s="2">
        <f t="shared" si="385"/>
        <v>0</v>
      </c>
      <c r="CE505" s="2">
        <f t="shared" si="385"/>
        <v>0</v>
      </c>
      <c r="CF505" s="2">
        <f t="shared" si="385"/>
        <v>0</v>
      </c>
      <c r="CG505" s="2">
        <f t="shared" si="385"/>
        <v>0</v>
      </c>
      <c r="CH505" s="2">
        <f t="shared" si="385"/>
        <v>0</v>
      </c>
      <c r="CI505" s="2">
        <f t="shared" si="385"/>
        <v>0</v>
      </c>
      <c r="CJ505" s="2">
        <f t="shared" si="385"/>
        <v>0</v>
      </c>
      <c r="CK505" s="2">
        <f t="shared" si="385"/>
        <v>0</v>
      </c>
      <c r="CL505" s="2">
        <f t="shared" si="385"/>
        <v>0</v>
      </c>
      <c r="CM505" s="2">
        <f t="shared" si="385"/>
        <v>0</v>
      </c>
      <c r="CN505" s="2">
        <f t="shared" si="385"/>
        <v>0</v>
      </c>
      <c r="CO505" s="2">
        <f t="shared" si="385"/>
        <v>0</v>
      </c>
      <c r="CP505" s="2">
        <f t="shared" si="385"/>
        <v>0</v>
      </c>
      <c r="CQ505" s="2">
        <f t="shared" si="385"/>
        <v>0</v>
      </c>
      <c r="CR505" s="2">
        <f t="shared" si="385"/>
        <v>0</v>
      </c>
      <c r="CS505" s="2">
        <f t="shared" si="385"/>
        <v>0</v>
      </c>
      <c r="CT505" s="2">
        <f t="shared" si="385"/>
        <v>0</v>
      </c>
      <c r="CU505" s="2">
        <f t="shared" si="385"/>
        <v>0</v>
      </c>
      <c r="CV505" s="2">
        <f t="shared" si="385"/>
        <v>0</v>
      </c>
      <c r="CW505" s="2">
        <f t="shared" si="385"/>
        <v>0</v>
      </c>
      <c r="CX505" s="2">
        <f t="shared" si="385"/>
        <v>0</v>
      </c>
      <c r="CY505" s="2">
        <f t="shared" si="385"/>
        <v>0</v>
      </c>
      <c r="CZ505" s="2">
        <f t="shared" si="385"/>
        <v>0</v>
      </c>
      <c r="DA505" s="2">
        <f t="shared" si="385"/>
        <v>0</v>
      </c>
      <c r="DB505" s="2">
        <f t="shared" si="385"/>
        <v>0</v>
      </c>
      <c r="DC505" s="2">
        <f t="shared" si="385"/>
        <v>0</v>
      </c>
      <c r="DD505" s="2">
        <f t="shared" si="385"/>
        <v>0</v>
      </c>
      <c r="DE505" s="2">
        <f t="shared" si="385"/>
        <v>0</v>
      </c>
      <c r="DF505" s="2">
        <f t="shared" si="385"/>
        <v>0</v>
      </c>
      <c r="DG505" s="3">
        <f t="shared" ref="DG505:EL505" si="386">DG624</f>
        <v>0</v>
      </c>
      <c r="DH505" s="3">
        <f t="shared" si="386"/>
        <v>0</v>
      </c>
      <c r="DI505" s="3">
        <f t="shared" si="386"/>
        <v>0</v>
      </c>
      <c r="DJ505" s="3">
        <f t="shared" si="386"/>
        <v>0</v>
      </c>
      <c r="DK505" s="3">
        <f t="shared" si="386"/>
        <v>0</v>
      </c>
      <c r="DL505" s="3">
        <f t="shared" si="386"/>
        <v>0</v>
      </c>
      <c r="DM505" s="3">
        <f t="shared" si="386"/>
        <v>0</v>
      </c>
      <c r="DN505" s="3">
        <f t="shared" si="386"/>
        <v>0</v>
      </c>
      <c r="DO505" s="3">
        <f t="shared" si="386"/>
        <v>0</v>
      </c>
      <c r="DP505" s="3">
        <f t="shared" si="386"/>
        <v>0</v>
      </c>
      <c r="DQ505" s="3">
        <f t="shared" si="386"/>
        <v>0</v>
      </c>
      <c r="DR505" s="3">
        <f t="shared" si="386"/>
        <v>0</v>
      </c>
      <c r="DS505" s="3">
        <f t="shared" si="386"/>
        <v>0</v>
      </c>
      <c r="DT505" s="3">
        <f t="shared" si="386"/>
        <v>0</v>
      </c>
      <c r="DU505" s="3">
        <f t="shared" si="386"/>
        <v>0</v>
      </c>
      <c r="DV505" s="3">
        <f t="shared" si="386"/>
        <v>0</v>
      </c>
      <c r="DW505" s="3">
        <f t="shared" si="386"/>
        <v>0</v>
      </c>
      <c r="DX505" s="3">
        <f t="shared" si="386"/>
        <v>0</v>
      </c>
      <c r="DY505" s="3">
        <f t="shared" si="386"/>
        <v>0</v>
      </c>
      <c r="DZ505" s="3">
        <f t="shared" si="386"/>
        <v>0</v>
      </c>
      <c r="EA505" s="3">
        <f t="shared" si="386"/>
        <v>0</v>
      </c>
      <c r="EB505" s="3">
        <f t="shared" si="386"/>
        <v>0</v>
      </c>
      <c r="EC505" s="3">
        <f t="shared" si="386"/>
        <v>0</v>
      </c>
      <c r="ED505" s="3">
        <f t="shared" si="386"/>
        <v>0</v>
      </c>
      <c r="EE505" s="3">
        <f t="shared" si="386"/>
        <v>0</v>
      </c>
      <c r="EF505" s="3">
        <f t="shared" si="386"/>
        <v>0</v>
      </c>
      <c r="EG505" s="3">
        <f t="shared" si="386"/>
        <v>0</v>
      </c>
      <c r="EH505" s="3">
        <f t="shared" si="386"/>
        <v>0</v>
      </c>
      <c r="EI505" s="3">
        <f t="shared" si="386"/>
        <v>0</v>
      </c>
      <c r="EJ505" s="3">
        <f t="shared" si="386"/>
        <v>0</v>
      </c>
      <c r="EK505" s="3">
        <f t="shared" si="386"/>
        <v>0</v>
      </c>
      <c r="EL505" s="3">
        <f t="shared" si="386"/>
        <v>0</v>
      </c>
      <c r="EM505" s="3">
        <f t="shared" ref="EM505:FR505" si="387">EM624</f>
        <v>0</v>
      </c>
      <c r="EN505" s="3">
        <f t="shared" si="387"/>
        <v>0</v>
      </c>
      <c r="EO505" s="3">
        <f t="shared" si="387"/>
        <v>0</v>
      </c>
      <c r="EP505" s="3">
        <f t="shared" si="387"/>
        <v>0</v>
      </c>
      <c r="EQ505" s="3">
        <f t="shared" si="387"/>
        <v>0</v>
      </c>
      <c r="ER505" s="3">
        <f t="shared" si="387"/>
        <v>0</v>
      </c>
      <c r="ES505" s="3">
        <f t="shared" si="387"/>
        <v>0</v>
      </c>
      <c r="ET505" s="3">
        <f t="shared" si="387"/>
        <v>0</v>
      </c>
      <c r="EU505" s="3">
        <f t="shared" si="387"/>
        <v>0</v>
      </c>
      <c r="EV505" s="3">
        <f t="shared" si="387"/>
        <v>0</v>
      </c>
      <c r="EW505" s="3">
        <f t="shared" si="387"/>
        <v>0</v>
      </c>
      <c r="EX505" s="3">
        <f t="shared" si="387"/>
        <v>0</v>
      </c>
      <c r="EY505" s="3">
        <f t="shared" si="387"/>
        <v>0</v>
      </c>
      <c r="EZ505" s="3">
        <f t="shared" si="387"/>
        <v>0</v>
      </c>
      <c r="FA505" s="3">
        <f t="shared" si="387"/>
        <v>0</v>
      </c>
      <c r="FB505" s="3">
        <f t="shared" si="387"/>
        <v>0</v>
      </c>
      <c r="FC505" s="3">
        <f t="shared" si="387"/>
        <v>0</v>
      </c>
      <c r="FD505" s="3">
        <f t="shared" si="387"/>
        <v>0</v>
      </c>
      <c r="FE505" s="3">
        <f t="shared" si="387"/>
        <v>0</v>
      </c>
      <c r="FF505" s="3">
        <f t="shared" si="387"/>
        <v>0</v>
      </c>
      <c r="FG505" s="3">
        <f t="shared" si="387"/>
        <v>0</v>
      </c>
      <c r="FH505" s="3">
        <f t="shared" si="387"/>
        <v>0</v>
      </c>
      <c r="FI505" s="3">
        <f t="shared" si="387"/>
        <v>0</v>
      </c>
      <c r="FJ505" s="3">
        <f t="shared" si="387"/>
        <v>0</v>
      </c>
      <c r="FK505" s="3">
        <f t="shared" si="387"/>
        <v>0</v>
      </c>
      <c r="FL505" s="3">
        <f t="shared" si="387"/>
        <v>0</v>
      </c>
      <c r="FM505" s="3">
        <f t="shared" si="387"/>
        <v>0</v>
      </c>
      <c r="FN505" s="3">
        <f t="shared" si="387"/>
        <v>0</v>
      </c>
      <c r="FO505" s="3">
        <f t="shared" si="387"/>
        <v>0</v>
      </c>
      <c r="FP505" s="3">
        <f t="shared" si="387"/>
        <v>0</v>
      </c>
      <c r="FQ505" s="3">
        <f t="shared" si="387"/>
        <v>0</v>
      </c>
      <c r="FR505" s="3">
        <f t="shared" si="387"/>
        <v>0</v>
      </c>
      <c r="FS505" s="3">
        <f t="shared" ref="FS505:GX505" si="388">FS624</f>
        <v>0</v>
      </c>
      <c r="FT505" s="3">
        <f t="shared" si="388"/>
        <v>0</v>
      </c>
      <c r="FU505" s="3">
        <f t="shared" si="388"/>
        <v>0</v>
      </c>
      <c r="FV505" s="3">
        <f t="shared" si="388"/>
        <v>0</v>
      </c>
      <c r="FW505" s="3">
        <f t="shared" si="388"/>
        <v>0</v>
      </c>
      <c r="FX505" s="3">
        <f t="shared" si="388"/>
        <v>0</v>
      </c>
      <c r="FY505" s="3">
        <f t="shared" si="388"/>
        <v>0</v>
      </c>
      <c r="FZ505" s="3">
        <f t="shared" si="388"/>
        <v>0</v>
      </c>
      <c r="GA505" s="3">
        <f t="shared" si="388"/>
        <v>0</v>
      </c>
      <c r="GB505" s="3">
        <f t="shared" si="388"/>
        <v>0</v>
      </c>
      <c r="GC505" s="3">
        <f t="shared" si="388"/>
        <v>0</v>
      </c>
      <c r="GD505" s="3">
        <f t="shared" si="388"/>
        <v>0</v>
      </c>
      <c r="GE505" s="3">
        <f t="shared" si="388"/>
        <v>0</v>
      </c>
      <c r="GF505" s="3">
        <f t="shared" si="388"/>
        <v>0</v>
      </c>
      <c r="GG505" s="3">
        <f t="shared" si="388"/>
        <v>0</v>
      </c>
      <c r="GH505" s="3">
        <f t="shared" si="388"/>
        <v>0</v>
      </c>
      <c r="GI505" s="3">
        <f t="shared" si="388"/>
        <v>0</v>
      </c>
      <c r="GJ505" s="3">
        <f t="shared" si="388"/>
        <v>0</v>
      </c>
      <c r="GK505" s="3">
        <f t="shared" si="388"/>
        <v>0</v>
      </c>
      <c r="GL505" s="3">
        <f t="shared" si="388"/>
        <v>0</v>
      </c>
      <c r="GM505" s="3">
        <f t="shared" si="388"/>
        <v>0</v>
      </c>
      <c r="GN505" s="3">
        <f t="shared" si="388"/>
        <v>0</v>
      </c>
      <c r="GO505" s="3">
        <f t="shared" si="388"/>
        <v>0</v>
      </c>
      <c r="GP505" s="3">
        <f t="shared" si="388"/>
        <v>0</v>
      </c>
      <c r="GQ505" s="3">
        <f t="shared" si="388"/>
        <v>0</v>
      </c>
      <c r="GR505" s="3">
        <f t="shared" si="388"/>
        <v>0</v>
      </c>
      <c r="GS505" s="3">
        <f t="shared" si="388"/>
        <v>0</v>
      </c>
      <c r="GT505" s="3">
        <f t="shared" si="388"/>
        <v>0</v>
      </c>
      <c r="GU505" s="3">
        <f t="shared" si="388"/>
        <v>0</v>
      </c>
      <c r="GV505" s="3">
        <f t="shared" si="388"/>
        <v>0</v>
      </c>
      <c r="GW505" s="3">
        <f t="shared" si="388"/>
        <v>0</v>
      </c>
      <c r="GX505" s="3">
        <f t="shared" si="388"/>
        <v>0</v>
      </c>
    </row>
    <row r="507" spans="1:206" x14ac:dyDescent="0.2">
      <c r="A507" s="1">
        <v>4</v>
      </c>
      <c r="B507" s="1">
        <v>1</v>
      </c>
      <c r="C507" s="1"/>
      <c r="D507" s="1">
        <f>ROW(A594)</f>
        <v>594</v>
      </c>
      <c r="E507" s="1"/>
      <c r="F507" s="1" t="s">
        <v>13</v>
      </c>
      <c r="G507" s="1" t="s">
        <v>401</v>
      </c>
      <c r="H507" s="1" t="s">
        <v>3</v>
      </c>
      <c r="I507" s="1">
        <v>0</v>
      </c>
      <c r="J507" s="1"/>
      <c r="K507" s="1">
        <v>0</v>
      </c>
      <c r="L507" s="1"/>
      <c r="M507" s="1" t="s">
        <v>3</v>
      </c>
      <c r="N507" s="1"/>
      <c r="O507" s="1"/>
      <c r="P507" s="1"/>
      <c r="Q507" s="1"/>
      <c r="R507" s="1"/>
      <c r="S507" s="1">
        <v>0</v>
      </c>
      <c r="T507" s="1"/>
      <c r="U507" s="1" t="s">
        <v>3</v>
      </c>
      <c r="V507" s="1">
        <v>0</v>
      </c>
      <c r="W507" s="1"/>
      <c r="X507" s="1"/>
      <c r="Y507" s="1"/>
      <c r="Z507" s="1"/>
      <c r="AA507" s="1"/>
      <c r="AB507" s="1" t="s">
        <v>3</v>
      </c>
      <c r="AC507" s="1" t="s">
        <v>3</v>
      </c>
      <c r="AD507" s="1" t="s">
        <v>3</v>
      </c>
      <c r="AE507" s="1" t="s">
        <v>3</v>
      </c>
      <c r="AF507" s="1" t="s">
        <v>3</v>
      </c>
      <c r="AG507" s="1" t="s">
        <v>3</v>
      </c>
      <c r="AH507" s="1"/>
      <c r="AI507" s="1"/>
      <c r="AJ507" s="1"/>
      <c r="AK507" s="1"/>
      <c r="AL507" s="1"/>
      <c r="AM507" s="1"/>
      <c r="AN507" s="1"/>
      <c r="AO507" s="1"/>
      <c r="AP507" s="1" t="s">
        <v>3</v>
      </c>
      <c r="AQ507" s="1" t="s">
        <v>3</v>
      </c>
      <c r="AR507" s="1" t="s">
        <v>3</v>
      </c>
      <c r="AS507" s="1"/>
      <c r="AT507" s="1"/>
      <c r="AU507" s="1"/>
      <c r="AV507" s="1"/>
      <c r="AW507" s="1"/>
      <c r="AX507" s="1"/>
      <c r="AY507" s="1"/>
      <c r="AZ507" s="1" t="s">
        <v>3</v>
      </c>
      <c r="BA507" s="1"/>
      <c r="BB507" s="1" t="s">
        <v>3</v>
      </c>
      <c r="BC507" s="1" t="s">
        <v>3</v>
      </c>
      <c r="BD507" s="1" t="s">
        <v>3</v>
      </c>
      <c r="BE507" s="1" t="s">
        <v>3</v>
      </c>
      <c r="BF507" s="1" t="s">
        <v>3</v>
      </c>
      <c r="BG507" s="1" t="s">
        <v>3</v>
      </c>
      <c r="BH507" s="1" t="s">
        <v>3</v>
      </c>
      <c r="BI507" s="1" t="s">
        <v>3</v>
      </c>
      <c r="BJ507" s="1" t="s">
        <v>3</v>
      </c>
      <c r="BK507" s="1" t="s">
        <v>3</v>
      </c>
      <c r="BL507" s="1" t="s">
        <v>3</v>
      </c>
      <c r="BM507" s="1" t="s">
        <v>3</v>
      </c>
      <c r="BN507" s="1" t="s">
        <v>3</v>
      </c>
      <c r="BO507" s="1" t="s">
        <v>3</v>
      </c>
      <c r="BP507" s="1" t="s">
        <v>3</v>
      </c>
      <c r="BQ507" s="1"/>
      <c r="BR507" s="1"/>
      <c r="BS507" s="1"/>
      <c r="BT507" s="1"/>
      <c r="BU507" s="1"/>
      <c r="BV507" s="1"/>
      <c r="BW507" s="1"/>
      <c r="BX507" s="1">
        <v>0</v>
      </c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>
        <v>0</v>
      </c>
    </row>
    <row r="509" spans="1:206" x14ac:dyDescent="0.2">
      <c r="A509" s="2">
        <v>52</v>
      </c>
      <c r="B509" s="2">
        <f t="shared" ref="B509:G509" si="389">B594</f>
        <v>1</v>
      </c>
      <c r="C509" s="2">
        <f t="shared" si="389"/>
        <v>4</v>
      </c>
      <c r="D509" s="2">
        <f t="shared" si="389"/>
        <v>507</v>
      </c>
      <c r="E509" s="2">
        <f t="shared" si="389"/>
        <v>0</v>
      </c>
      <c r="F509" s="2" t="str">
        <f t="shared" si="389"/>
        <v>Новый раздел</v>
      </c>
      <c r="G509" s="2" t="str">
        <f t="shared" si="389"/>
        <v>Вентиляция</v>
      </c>
      <c r="H509" s="2"/>
      <c r="I509" s="2"/>
      <c r="J509" s="2"/>
      <c r="K509" s="2"/>
      <c r="L509" s="2"/>
      <c r="M509" s="2"/>
      <c r="N509" s="2"/>
      <c r="O509" s="2">
        <f t="shared" ref="O509:AT509" si="390">O594</f>
        <v>76775.199999999997</v>
      </c>
      <c r="P509" s="2">
        <f t="shared" si="390"/>
        <v>216.48</v>
      </c>
      <c r="Q509" s="2">
        <f t="shared" si="390"/>
        <v>105.64</v>
      </c>
      <c r="R509" s="2">
        <f t="shared" si="390"/>
        <v>0.64</v>
      </c>
      <c r="S509" s="2">
        <f t="shared" si="390"/>
        <v>76453.08</v>
      </c>
      <c r="T509" s="2">
        <f t="shared" si="390"/>
        <v>0</v>
      </c>
      <c r="U509" s="2">
        <f t="shared" si="390"/>
        <v>134.12</v>
      </c>
      <c r="V509" s="2">
        <f t="shared" si="390"/>
        <v>0</v>
      </c>
      <c r="W509" s="2">
        <f t="shared" si="390"/>
        <v>0</v>
      </c>
      <c r="X509" s="2">
        <f t="shared" si="390"/>
        <v>53517.15</v>
      </c>
      <c r="Y509" s="2">
        <f t="shared" si="390"/>
        <v>7645.31</v>
      </c>
      <c r="Z509" s="2">
        <f t="shared" si="390"/>
        <v>0</v>
      </c>
      <c r="AA509" s="2">
        <f t="shared" si="390"/>
        <v>0</v>
      </c>
      <c r="AB509" s="2">
        <f t="shared" si="390"/>
        <v>0</v>
      </c>
      <c r="AC509" s="2">
        <f t="shared" si="390"/>
        <v>0</v>
      </c>
      <c r="AD509" s="2">
        <f t="shared" si="390"/>
        <v>0</v>
      </c>
      <c r="AE509" s="2">
        <f t="shared" si="390"/>
        <v>0</v>
      </c>
      <c r="AF509" s="2">
        <f t="shared" si="390"/>
        <v>0</v>
      </c>
      <c r="AG509" s="2">
        <f t="shared" si="390"/>
        <v>0</v>
      </c>
      <c r="AH509" s="2">
        <f t="shared" si="390"/>
        <v>0</v>
      </c>
      <c r="AI509" s="2">
        <f t="shared" si="390"/>
        <v>0</v>
      </c>
      <c r="AJ509" s="2">
        <f t="shared" si="390"/>
        <v>0</v>
      </c>
      <c r="AK509" s="2">
        <f t="shared" si="390"/>
        <v>0</v>
      </c>
      <c r="AL509" s="2">
        <f t="shared" si="390"/>
        <v>0</v>
      </c>
      <c r="AM509" s="2">
        <f t="shared" si="390"/>
        <v>0</v>
      </c>
      <c r="AN509" s="2">
        <f t="shared" si="390"/>
        <v>0</v>
      </c>
      <c r="AO509" s="2">
        <f t="shared" si="390"/>
        <v>0</v>
      </c>
      <c r="AP509" s="2">
        <f t="shared" si="390"/>
        <v>0</v>
      </c>
      <c r="AQ509" s="2">
        <f t="shared" si="390"/>
        <v>0</v>
      </c>
      <c r="AR509" s="2">
        <f t="shared" si="390"/>
        <v>137938.35</v>
      </c>
      <c r="AS509" s="2">
        <f t="shared" si="390"/>
        <v>0</v>
      </c>
      <c r="AT509" s="2">
        <f t="shared" si="390"/>
        <v>0</v>
      </c>
      <c r="AU509" s="2">
        <f t="shared" ref="AU509:BZ509" si="391">AU594</f>
        <v>137938.35</v>
      </c>
      <c r="AV509" s="2">
        <f t="shared" si="391"/>
        <v>216.48</v>
      </c>
      <c r="AW509" s="2">
        <f t="shared" si="391"/>
        <v>216.48</v>
      </c>
      <c r="AX509" s="2">
        <f t="shared" si="391"/>
        <v>0</v>
      </c>
      <c r="AY509" s="2">
        <f t="shared" si="391"/>
        <v>216.48</v>
      </c>
      <c r="AZ509" s="2">
        <f t="shared" si="391"/>
        <v>0</v>
      </c>
      <c r="BA509" s="2">
        <f t="shared" si="391"/>
        <v>0</v>
      </c>
      <c r="BB509" s="2">
        <f t="shared" si="391"/>
        <v>0</v>
      </c>
      <c r="BC509" s="2">
        <f t="shared" si="391"/>
        <v>0</v>
      </c>
      <c r="BD509" s="2">
        <f t="shared" si="391"/>
        <v>0</v>
      </c>
      <c r="BE509" s="2">
        <f t="shared" si="391"/>
        <v>0</v>
      </c>
      <c r="BF509" s="2">
        <f t="shared" si="391"/>
        <v>0</v>
      </c>
      <c r="BG509" s="2">
        <f t="shared" si="391"/>
        <v>0</v>
      </c>
      <c r="BH509" s="2">
        <f t="shared" si="391"/>
        <v>0</v>
      </c>
      <c r="BI509" s="2">
        <f t="shared" si="391"/>
        <v>0</v>
      </c>
      <c r="BJ509" s="2">
        <f t="shared" si="391"/>
        <v>0</v>
      </c>
      <c r="BK509" s="2">
        <f t="shared" si="391"/>
        <v>0</v>
      </c>
      <c r="BL509" s="2">
        <f t="shared" si="391"/>
        <v>0</v>
      </c>
      <c r="BM509" s="2">
        <f t="shared" si="391"/>
        <v>0</v>
      </c>
      <c r="BN509" s="2">
        <f t="shared" si="391"/>
        <v>0</v>
      </c>
      <c r="BO509" s="2">
        <f t="shared" si="391"/>
        <v>0</v>
      </c>
      <c r="BP509" s="2">
        <f t="shared" si="391"/>
        <v>0</v>
      </c>
      <c r="BQ509" s="2">
        <f t="shared" si="391"/>
        <v>0</v>
      </c>
      <c r="BR509" s="2">
        <f t="shared" si="391"/>
        <v>0</v>
      </c>
      <c r="BS509" s="2">
        <f t="shared" si="391"/>
        <v>0</v>
      </c>
      <c r="BT509" s="2">
        <f t="shared" si="391"/>
        <v>0</v>
      </c>
      <c r="BU509" s="2">
        <f t="shared" si="391"/>
        <v>0</v>
      </c>
      <c r="BV509" s="2">
        <f t="shared" si="391"/>
        <v>0</v>
      </c>
      <c r="BW509" s="2">
        <f t="shared" si="391"/>
        <v>0</v>
      </c>
      <c r="BX509" s="2">
        <f t="shared" si="391"/>
        <v>0</v>
      </c>
      <c r="BY509" s="2">
        <f t="shared" si="391"/>
        <v>0</v>
      </c>
      <c r="BZ509" s="2">
        <f t="shared" si="391"/>
        <v>0</v>
      </c>
      <c r="CA509" s="2">
        <f t="shared" ref="CA509:DF509" si="392">CA594</f>
        <v>0</v>
      </c>
      <c r="CB509" s="2">
        <f t="shared" si="392"/>
        <v>0</v>
      </c>
      <c r="CC509" s="2">
        <f t="shared" si="392"/>
        <v>0</v>
      </c>
      <c r="CD509" s="2">
        <f t="shared" si="392"/>
        <v>0</v>
      </c>
      <c r="CE509" s="2">
        <f t="shared" si="392"/>
        <v>0</v>
      </c>
      <c r="CF509" s="2">
        <f t="shared" si="392"/>
        <v>0</v>
      </c>
      <c r="CG509" s="2">
        <f t="shared" si="392"/>
        <v>0</v>
      </c>
      <c r="CH509" s="2">
        <f t="shared" si="392"/>
        <v>0</v>
      </c>
      <c r="CI509" s="2">
        <f t="shared" si="392"/>
        <v>0</v>
      </c>
      <c r="CJ509" s="2">
        <f t="shared" si="392"/>
        <v>0</v>
      </c>
      <c r="CK509" s="2">
        <f t="shared" si="392"/>
        <v>0</v>
      </c>
      <c r="CL509" s="2">
        <f t="shared" si="392"/>
        <v>0</v>
      </c>
      <c r="CM509" s="2">
        <f t="shared" si="392"/>
        <v>0</v>
      </c>
      <c r="CN509" s="2">
        <f t="shared" si="392"/>
        <v>0</v>
      </c>
      <c r="CO509" s="2">
        <f t="shared" si="392"/>
        <v>0</v>
      </c>
      <c r="CP509" s="2">
        <f t="shared" si="392"/>
        <v>0</v>
      </c>
      <c r="CQ509" s="2">
        <f t="shared" si="392"/>
        <v>0</v>
      </c>
      <c r="CR509" s="2">
        <f t="shared" si="392"/>
        <v>0</v>
      </c>
      <c r="CS509" s="2">
        <f t="shared" si="392"/>
        <v>0</v>
      </c>
      <c r="CT509" s="2">
        <f t="shared" si="392"/>
        <v>0</v>
      </c>
      <c r="CU509" s="2">
        <f t="shared" si="392"/>
        <v>0</v>
      </c>
      <c r="CV509" s="2">
        <f t="shared" si="392"/>
        <v>0</v>
      </c>
      <c r="CW509" s="2">
        <f t="shared" si="392"/>
        <v>0</v>
      </c>
      <c r="CX509" s="2">
        <f t="shared" si="392"/>
        <v>0</v>
      </c>
      <c r="CY509" s="2">
        <f t="shared" si="392"/>
        <v>0</v>
      </c>
      <c r="CZ509" s="2">
        <f t="shared" si="392"/>
        <v>0</v>
      </c>
      <c r="DA509" s="2">
        <f t="shared" si="392"/>
        <v>0</v>
      </c>
      <c r="DB509" s="2">
        <f t="shared" si="392"/>
        <v>0</v>
      </c>
      <c r="DC509" s="2">
        <f t="shared" si="392"/>
        <v>0</v>
      </c>
      <c r="DD509" s="2">
        <f t="shared" si="392"/>
        <v>0</v>
      </c>
      <c r="DE509" s="2">
        <f t="shared" si="392"/>
        <v>0</v>
      </c>
      <c r="DF509" s="2">
        <f t="shared" si="392"/>
        <v>0</v>
      </c>
      <c r="DG509" s="3">
        <f t="shared" ref="DG509:EL509" si="393">DG594</f>
        <v>0</v>
      </c>
      <c r="DH509" s="3">
        <f t="shared" si="393"/>
        <v>0</v>
      </c>
      <c r="DI509" s="3">
        <f t="shared" si="393"/>
        <v>0</v>
      </c>
      <c r="DJ509" s="3">
        <f t="shared" si="393"/>
        <v>0</v>
      </c>
      <c r="DK509" s="3">
        <f t="shared" si="393"/>
        <v>0</v>
      </c>
      <c r="DL509" s="3">
        <f t="shared" si="393"/>
        <v>0</v>
      </c>
      <c r="DM509" s="3">
        <f t="shared" si="393"/>
        <v>0</v>
      </c>
      <c r="DN509" s="3">
        <f t="shared" si="393"/>
        <v>0</v>
      </c>
      <c r="DO509" s="3">
        <f t="shared" si="393"/>
        <v>0</v>
      </c>
      <c r="DP509" s="3">
        <f t="shared" si="393"/>
        <v>0</v>
      </c>
      <c r="DQ509" s="3">
        <f t="shared" si="393"/>
        <v>0</v>
      </c>
      <c r="DR509" s="3">
        <f t="shared" si="393"/>
        <v>0</v>
      </c>
      <c r="DS509" s="3">
        <f t="shared" si="393"/>
        <v>0</v>
      </c>
      <c r="DT509" s="3">
        <f t="shared" si="393"/>
        <v>0</v>
      </c>
      <c r="DU509" s="3">
        <f t="shared" si="393"/>
        <v>0</v>
      </c>
      <c r="DV509" s="3">
        <f t="shared" si="393"/>
        <v>0</v>
      </c>
      <c r="DW509" s="3">
        <f t="shared" si="393"/>
        <v>0</v>
      </c>
      <c r="DX509" s="3">
        <f t="shared" si="393"/>
        <v>0</v>
      </c>
      <c r="DY509" s="3">
        <f t="shared" si="393"/>
        <v>0</v>
      </c>
      <c r="DZ509" s="3">
        <f t="shared" si="393"/>
        <v>0</v>
      </c>
      <c r="EA509" s="3">
        <f t="shared" si="393"/>
        <v>0</v>
      </c>
      <c r="EB509" s="3">
        <f t="shared" si="393"/>
        <v>0</v>
      </c>
      <c r="EC509" s="3">
        <f t="shared" si="393"/>
        <v>0</v>
      </c>
      <c r="ED509" s="3">
        <f t="shared" si="393"/>
        <v>0</v>
      </c>
      <c r="EE509" s="3">
        <f t="shared" si="393"/>
        <v>0</v>
      </c>
      <c r="EF509" s="3">
        <f t="shared" si="393"/>
        <v>0</v>
      </c>
      <c r="EG509" s="3">
        <f t="shared" si="393"/>
        <v>0</v>
      </c>
      <c r="EH509" s="3">
        <f t="shared" si="393"/>
        <v>0</v>
      </c>
      <c r="EI509" s="3">
        <f t="shared" si="393"/>
        <v>0</v>
      </c>
      <c r="EJ509" s="3">
        <f t="shared" si="393"/>
        <v>0</v>
      </c>
      <c r="EK509" s="3">
        <f t="shared" si="393"/>
        <v>0</v>
      </c>
      <c r="EL509" s="3">
        <f t="shared" si="393"/>
        <v>0</v>
      </c>
      <c r="EM509" s="3">
        <f t="shared" ref="EM509:FR509" si="394">EM594</f>
        <v>0</v>
      </c>
      <c r="EN509" s="3">
        <f t="shared" si="394"/>
        <v>0</v>
      </c>
      <c r="EO509" s="3">
        <f t="shared" si="394"/>
        <v>0</v>
      </c>
      <c r="EP509" s="3">
        <f t="shared" si="394"/>
        <v>0</v>
      </c>
      <c r="EQ509" s="3">
        <f t="shared" si="394"/>
        <v>0</v>
      </c>
      <c r="ER509" s="3">
        <f t="shared" si="394"/>
        <v>0</v>
      </c>
      <c r="ES509" s="3">
        <f t="shared" si="394"/>
        <v>0</v>
      </c>
      <c r="ET509" s="3">
        <f t="shared" si="394"/>
        <v>0</v>
      </c>
      <c r="EU509" s="3">
        <f t="shared" si="394"/>
        <v>0</v>
      </c>
      <c r="EV509" s="3">
        <f t="shared" si="394"/>
        <v>0</v>
      </c>
      <c r="EW509" s="3">
        <f t="shared" si="394"/>
        <v>0</v>
      </c>
      <c r="EX509" s="3">
        <f t="shared" si="394"/>
        <v>0</v>
      </c>
      <c r="EY509" s="3">
        <f t="shared" si="394"/>
        <v>0</v>
      </c>
      <c r="EZ509" s="3">
        <f t="shared" si="394"/>
        <v>0</v>
      </c>
      <c r="FA509" s="3">
        <f t="shared" si="394"/>
        <v>0</v>
      </c>
      <c r="FB509" s="3">
        <f t="shared" si="394"/>
        <v>0</v>
      </c>
      <c r="FC509" s="3">
        <f t="shared" si="394"/>
        <v>0</v>
      </c>
      <c r="FD509" s="3">
        <f t="shared" si="394"/>
        <v>0</v>
      </c>
      <c r="FE509" s="3">
        <f t="shared" si="394"/>
        <v>0</v>
      </c>
      <c r="FF509" s="3">
        <f t="shared" si="394"/>
        <v>0</v>
      </c>
      <c r="FG509" s="3">
        <f t="shared" si="394"/>
        <v>0</v>
      </c>
      <c r="FH509" s="3">
        <f t="shared" si="394"/>
        <v>0</v>
      </c>
      <c r="FI509" s="3">
        <f t="shared" si="394"/>
        <v>0</v>
      </c>
      <c r="FJ509" s="3">
        <f t="shared" si="394"/>
        <v>0</v>
      </c>
      <c r="FK509" s="3">
        <f t="shared" si="394"/>
        <v>0</v>
      </c>
      <c r="FL509" s="3">
        <f t="shared" si="394"/>
        <v>0</v>
      </c>
      <c r="FM509" s="3">
        <f t="shared" si="394"/>
        <v>0</v>
      </c>
      <c r="FN509" s="3">
        <f t="shared" si="394"/>
        <v>0</v>
      </c>
      <c r="FO509" s="3">
        <f t="shared" si="394"/>
        <v>0</v>
      </c>
      <c r="FP509" s="3">
        <f t="shared" si="394"/>
        <v>0</v>
      </c>
      <c r="FQ509" s="3">
        <f t="shared" si="394"/>
        <v>0</v>
      </c>
      <c r="FR509" s="3">
        <f t="shared" si="394"/>
        <v>0</v>
      </c>
      <c r="FS509" s="3">
        <f t="shared" ref="FS509:GX509" si="395">FS594</f>
        <v>0</v>
      </c>
      <c r="FT509" s="3">
        <f t="shared" si="395"/>
        <v>0</v>
      </c>
      <c r="FU509" s="3">
        <f t="shared" si="395"/>
        <v>0</v>
      </c>
      <c r="FV509" s="3">
        <f t="shared" si="395"/>
        <v>0</v>
      </c>
      <c r="FW509" s="3">
        <f t="shared" si="395"/>
        <v>0</v>
      </c>
      <c r="FX509" s="3">
        <f t="shared" si="395"/>
        <v>0</v>
      </c>
      <c r="FY509" s="3">
        <f t="shared" si="395"/>
        <v>0</v>
      </c>
      <c r="FZ509" s="3">
        <f t="shared" si="395"/>
        <v>0</v>
      </c>
      <c r="GA509" s="3">
        <f t="shared" si="395"/>
        <v>0</v>
      </c>
      <c r="GB509" s="3">
        <f t="shared" si="395"/>
        <v>0</v>
      </c>
      <c r="GC509" s="3">
        <f t="shared" si="395"/>
        <v>0</v>
      </c>
      <c r="GD509" s="3">
        <f t="shared" si="395"/>
        <v>0</v>
      </c>
      <c r="GE509" s="3">
        <f t="shared" si="395"/>
        <v>0</v>
      </c>
      <c r="GF509" s="3">
        <f t="shared" si="395"/>
        <v>0</v>
      </c>
      <c r="GG509" s="3">
        <f t="shared" si="395"/>
        <v>0</v>
      </c>
      <c r="GH509" s="3">
        <f t="shared" si="395"/>
        <v>0</v>
      </c>
      <c r="GI509" s="3">
        <f t="shared" si="395"/>
        <v>0</v>
      </c>
      <c r="GJ509" s="3">
        <f t="shared" si="395"/>
        <v>0</v>
      </c>
      <c r="GK509" s="3">
        <f t="shared" si="395"/>
        <v>0</v>
      </c>
      <c r="GL509" s="3">
        <f t="shared" si="395"/>
        <v>0</v>
      </c>
      <c r="GM509" s="3">
        <f t="shared" si="395"/>
        <v>0</v>
      </c>
      <c r="GN509" s="3">
        <f t="shared" si="395"/>
        <v>0</v>
      </c>
      <c r="GO509" s="3">
        <f t="shared" si="395"/>
        <v>0</v>
      </c>
      <c r="GP509" s="3">
        <f t="shared" si="395"/>
        <v>0</v>
      </c>
      <c r="GQ509" s="3">
        <f t="shared" si="395"/>
        <v>0</v>
      </c>
      <c r="GR509" s="3">
        <f t="shared" si="395"/>
        <v>0</v>
      </c>
      <c r="GS509" s="3">
        <f t="shared" si="395"/>
        <v>0</v>
      </c>
      <c r="GT509" s="3">
        <f t="shared" si="395"/>
        <v>0</v>
      </c>
      <c r="GU509" s="3">
        <f t="shared" si="395"/>
        <v>0</v>
      </c>
      <c r="GV509" s="3">
        <f t="shared" si="395"/>
        <v>0</v>
      </c>
      <c r="GW509" s="3">
        <f t="shared" si="395"/>
        <v>0</v>
      </c>
      <c r="GX509" s="3">
        <f t="shared" si="395"/>
        <v>0</v>
      </c>
    </row>
    <row r="511" spans="1:206" x14ac:dyDescent="0.2">
      <c r="A511" s="1">
        <v>5</v>
      </c>
      <c r="B511" s="1">
        <v>1</v>
      </c>
      <c r="C511" s="1"/>
      <c r="D511" s="1">
        <f>ROW(A527)</f>
        <v>527</v>
      </c>
      <c r="E511" s="1"/>
      <c r="F511" s="1" t="s">
        <v>310</v>
      </c>
      <c r="G511" s="1" t="s">
        <v>402</v>
      </c>
      <c r="H511" s="1" t="s">
        <v>3</v>
      </c>
      <c r="I511" s="1">
        <v>0</v>
      </c>
      <c r="J511" s="1"/>
      <c r="K511" s="1">
        <v>0</v>
      </c>
      <c r="L511" s="1"/>
      <c r="M511" s="1" t="s">
        <v>3</v>
      </c>
      <c r="N511" s="1"/>
      <c r="O511" s="1"/>
      <c r="P511" s="1"/>
      <c r="Q511" s="1"/>
      <c r="R511" s="1"/>
      <c r="S511" s="1">
        <v>0</v>
      </c>
      <c r="T511" s="1"/>
      <c r="U511" s="1" t="s">
        <v>3</v>
      </c>
      <c r="V511" s="1">
        <v>0</v>
      </c>
      <c r="W511" s="1"/>
      <c r="X511" s="1"/>
      <c r="Y511" s="1"/>
      <c r="Z511" s="1"/>
      <c r="AA511" s="1"/>
      <c r="AB511" s="1" t="s">
        <v>3</v>
      </c>
      <c r="AC511" s="1" t="s">
        <v>3</v>
      </c>
      <c r="AD511" s="1" t="s">
        <v>3</v>
      </c>
      <c r="AE511" s="1" t="s">
        <v>3</v>
      </c>
      <c r="AF511" s="1" t="s">
        <v>3</v>
      </c>
      <c r="AG511" s="1" t="s">
        <v>3</v>
      </c>
      <c r="AH511" s="1"/>
      <c r="AI511" s="1"/>
      <c r="AJ511" s="1"/>
      <c r="AK511" s="1"/>
      <c r="AL511" s="1"/>
      <c r="AM511" s="1"/>
      <c r="AN511" s="1"/>
      <c r="AO511" s="1"/>
      <c r="AP511" s="1" t="s">
        <v>3</v>
      </c>
      <c r="AQ511" s="1" t="s">
        <v>3</v>
      </c>
      <c r="AR511" s="1" t="s">
        <v>3</v>
      </c>
      <c r="AS511" s="1"/>
      <c r="AT511" s="1"/>
      <c r="AU511" s="1"/>
      <c r="AV511" s="1"/>
      <c r="AW511" s="1"/>
      <c r="AX511" s="1"/>
      <c r="AY511" s="1"/>
      <c r="AZ511" s="1" t="s">
        <v>3</v>
      </c>
      <c r="BA511" s="1"/>
      <c r="BB511" s="1" t="s">
        <v>3</v>
      </c>
      <c r="BC511" s="1" t="s">
        <v>3</v>
      </c>
      <c r="BD511" s="1" t="s">
        <v>3</v>
      </c>
      <c r="BE511" s="1" t="s">
        <v>3</v>
      </c>
      <c r="BF511" s="1" t="s">
        <v>3</v>
      </c>
      <c r="BG511" s="1" t="s">
        <v>3</v>
      </c>
      <c r="BH511" s="1" t="s">
        <v>3</v>
      </c>
      <c r="BI511" s="1" t="s">
        <v>3</v>
      </c>
      <c r="BJ511" s="1" t="s">
        <v>3</v>
      </c>
      <c r="BK511" s="1" t="s">
        <v>3</v>
      </c>
      <c r="BL511" s="1" t="s">
        <v>3</v>
      </c>
      <c r="BM511" s="1" t="s">
        <v>3</v>
      </c>
      <c r="BN511" s="1" t="s">
        <v>3</v>
      </c>
      <c r="BO511" s="1" t="s">
        <v>3</v>
      </c>
      <c r="BP511" s="1" t="s">
        <v>3</v>
      </c>
      <c r="BQ511" s="1"/>
      <c r="BR511" s="1"/>
      <c r="BS511" s="1"/>
      <c r="BT511" s="1"/>
      <c r="BU511" s="1"/>
      <c r="BV511" s="1"/>
      <c r="BW511" s="1"/>
      <c r="BX511" s="1">
        <v>0</v>
      </c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>
        <v>0</v>
      </c>
    </row>
    <row r="513" spans="1:245" x14ac:dyDescent="0.2">
      <c r="A513" s="2">
        <v>52</v>
      </c>
      <c r="B513" s="2">
        <f t="shared" ref="B513:G513" si="396">B527</f>
        <v>1</v>
      </c>
      <c r="C513" s="2">
        <f t="shared" si="396"/>
        <v>5</v>
      </c>
      <c r="D513" s="2">
        <f t="shared" si="396"/>
        <v>511</v>
      </c>
      <c r="E513" s="2">
        <f t="shared" si="396"/>
        <v>0</v>
      </c>
      <c r="F513" s="2" t="str">
        <f t="shared" si="396"/>
        <v>Новый подраздел</v>
      </c>
      <c r="G513" s="2" t="str">
        <f t="shared" si="396"/>
        <v>Общеобменная вентиляция</v>
      </c>
      <c r="H513" s="2"/>
      <c r="I513" s="2"/>
      <c r="J513" s="2"/>
      <c r="K513" s="2"/>
      <c r="L513" s="2"/>
      <c r="M513" s="2"/>
      <c r="N513" s="2"/>
      <c r="O513" s="2">
        <f t="shared" ref="O513:AT513" si="397">O527</f>
        <v>76775.199999999997</v>
      </c>
      <c r="P513" s="2">
        <f t="shared" si="397"/>
        <v>216.48</v>
      </c>
      <c r="Q513" s="2">
        <f t="shared" si="397"/>
        <v>105.64</v>
      </c>
      <c r="R513" s="2">
        <f t="shared" si="397"/>
        <v>0.64</v>
      </c>
      <c r="S513" s="2">
        <f t="shared" si="397"/>
        <v>76453.08</v>
      </c>
      <c r="T513" s="2">
        <f t="shared" si="397"/>
        <v>0</v>
      </c>
      <c r="U513" s="2">
        <f t="shared" si="397"/>
        <v>134.12</v>
      </c>
      <c r="V513" s="2">
        <f t="shared" si="397"/>
        <v>0</v>
      </c>
      <c r="W513" s="2">
        <f t="shared" si="397"/>
        <v>0</v>
      </c>
      <c r="X513" s="2">
        <f t="shared" si="397"/>
        <v>53517.15</v>
      </c>
      <c r="Y513" s="2">
        <f t="shared" si="397"/>
        <v>7645.31</v>
      </c>
      <c r="Z513" s="2">
        <f t="shared" si="397"/>
        <v>0</v>
      </c>
      <c r="AA513" s="2">
        <f t="shared" si="397"/>
        <v>0</v>
      </c>
      <c r="AB513" s="2">
        <f t="shared" si="397"/>
        <v>76775.199999999997</v>
      </c>
      <c r="AC513" s="2">
        <f t="shared" si="397"/>
        <v>216.48</v>
      </c>
      <c r="AD513" s="2">
        <f t="shared" si="397"/>
        <v>105.64</v>
      </c>
      <c r="AE513" s="2">
        <f t="shared" si="397"/>
        <v>0.64</v>
      </c>
      <c r="AF513" s="2">
        <f t="shared" si="397"/>
        <v>76453.08</v>
      </c>
      <c r="AG513" s="2">
        <f t="shared" si="397"/>
        <v>0</v>
      </c>
      <c r="AH513" s="2">
        <f t="shared" si="397"/>
        <v>134.12</v>
      </c>
      <c r="AI513" s="2">
        <f t="shared" si="397"/>
        <v>0</v>
      </c>
      <c r="AJ513" s="2">
        <f t="shared" si="397"/>
        <v>0</v>
      </c>
      <c r="AK513" s="2">
        <f t="shared" si="397"/>
        <v>53517.15</v>
      </c>
      <c r="AL513" s="2">
        <f t="shared" si="397"/>
        <v>7645.31</v>
      </c>
      <c r="AM513" s="2">
        <f t="shared" si="397"/>
        <v>0</v>
      </c>
      <c r="AN513" s="2">
        <f t="shared" si="397"/>
        <v>0</v>
      </c>
      <c r="AO513" s="2">
        <f t="shared" si="397"/>
        <v>0</v>
      </c>
      <c r="AP513" s="2">
        <f t="shared" si="397"/>
        <v>0</v>
      </c>
      <c r="AQ513" s="2">
        <f t="shared" si="397"/>
        <v>0</v>
      </c>
      <c r="AR513" s="2">
        <f t="shared" si="397"/>
        <v>137938.35</v>
      </c>
      <c r="AS513" s="2">
        <f t="shared" si="397"/>
        <v>0</v>
      </c>
      <c r="AT513" s="2">
        <f t="shared" si="397"/>
        <v>0</v>
      </c>
      <c r="AU513" s="2">
        <f t="shared" ref="AU513:BZ513" si="398">AU527</f>
        <v>137938.35</v>
      </c>
      <c r="AV513" s="2">
        <f t="shared" si="398"/>
        <v>216.48</v>
      </c>
      <c r="AW513" s="2">
        <f t="shared" si="398"/>
        <v>216.48</v>
      </c>
      <c r="AX513" s="2">
        <f t="shared" si="398"/>
        <v>0</v>
      </c>
      <c r="AY513" s="2">
        <f t="shared" si="398"/>
        <v>216.48</v>
      </c>
      <c r="AZ513" s="2">
        <f t="shared" si="398"/>
        <v>0</v>
      </c>
      <c r="BA513" s="2">
        <f t="shared" si="398"/>
        <v>0</v>
      </c>
      <c r="BB513" s="2">
        <f t="shared" si="398"/>
        <v>0</v>
      </c>
      <c r="BC513" s="2">
        <f t="shared" si="398"/>
        <v>0</v>
      </c>
      <c r="BD513" s="2">
        <f t="shared" si="398"/>
        <v>0</v>
      </c>
      <c r="BE513" s="2">
        <f t="shared" si="398"/>
        <v>0</v>
      </c>
      <c r="BF513" s="2">
        <f t="shared" si="398"/>
        <v>0</v>
      </c>
      <c r="BG513" s="2">
        <f t="shared" si="398"/>
        <v>0</v>
      </c>
      <c r="BH513" s="2">
        <f t="shared" si="398"/>
        <v>0</v>
      </c>
      <c r="BI513" s="2">
        <f t="shared" si="398"/>
        <v>0</v>
      </c>
      <c r="BJ513" s="2">
        <f t="shared" si="398"/>
        <v>0</v>
      </c>
      <c r="BK513" s="2">
        <f t="shared" si="398"/>
        <v>0</v>
      </c>
      <c r="BL513" s="2">
        <f t="shared" si="398"/>
        <v>0</v>
      </c>
      <c r="BM513" s="2">
        <f t="shared" si="398"/>
        <v>0</v>
      </c>
      <c r="BN513" s="2">
        <f t="shared" si="398"/>
        <v>0</v>
      </c>
      <c r="BO513" s="2">
        <f t="shared" si="398"/>
        <v>0</v>
      </c>
      <c r="BP513" s="2">
        <f t="shared" si="398"/>
        <v>0</v>
      </c>
      <c r="BQ513" s="2">
        <f t="shared" si="398"/>
        <v>0</v>
      </c>
      <c r="BR513" s="2">
        <f t="shared" si="398"/>
        <v>0</v>
      </c>
      <c r="BS513" s="2">
        <f t="shared" si="398"/>
        <v>0</v>
      </c>
      <c r="BT513" s="2">
        <f t="shared" si="398"/>
        <v>0</v>
      </c>
      <c r="BU513" s="2">
        <f t="shared" si="398"/>
        <v>0</v>
      </c>
      <c r="BV513" s="2">
        <f t="shared" si="398"/>
        <v>0</v>
      </c>
      <c r="BW513" s="2">
        <f t="shared" si="398"/>
        <v>0</v>
      </c>
      <c r="BX513" s="2">
        <f t="shared" si="398"/>
        <v>0</v>
      </c>
      <c r="BY513" s="2">
        <f t="shared" si="398"/>
        <v>0</v>
      </c>
      <c r="BZ513" s="2">
        <f t="shared" si="398"/>
        <v>0</v>
      </c>
      <c r="CA513" s="2">
        <f t="shared" ref="CA513:DF513" si="399">CA527</f>
        <v>137938.35</v>
      </c>
      <c r="CB513" s="2">
        <f t="shared" si="399"/>
        <v>0</v>
      </c>
      <c r="CC513" s="2">
        <f t="shared" si="399"/>
        <v>0</v>
      </c>
      <c r="CD513" s="2">
        <f t="shared" si="399"/>
        <v>137938.35</v>
      </c>
      <c r="CE513" s="2">
        <f t="shared" si="399"/>
        <v>216.48</v>
      </c>
      <c r="CF513" s="2">
        <f t="shared" si="399"/>
        <v>216.48</v>
      </c>
      <c r="CG513" s="2">
        <f t="shared" si="399"/>
        <v>0</v>
      </c>
      <c r="CH513" s="2">
        <f t="shared" si="399"/>
        <v>216.48</v>
      </c>
      <c r="CI513" s="2">
        <f t="shared" si="399"/>
        <v>0</v>
      </c>
      <c r="CJ513" s="2">
        <f t="shared" si="399"/>
        <v>0</v>
      </c>
      <c r="CK513" s="2">
        <f t="shared" si="399"/>
        <v>0</v>
      </c>
      <c r="CL513" s="2">
        <f t="shared" si="399"/>
        <v>0</v>
      </c>
      <c r="CM513" s="2">
        <f t="shared" si="399"/>
        <v>0</v>
      </c>
      <c r="CN513" s="2">
        <f t="shared" si="399"/>
        <v>0</v>
      </c>
      <c r="CO513" s="2">
        <f t="shared" si="399"/>
        <v>0</v>
      </c>
      <c r="CP513" s="2">
        <f t="shared" si="399"/>
        <v>0</v>
      </c>
      <c r="CQ513" s="2">
        <f t="shared" si="399"/>
        <v>0</v>
      </c>
      <c r="CR513" s="2">
        <f t="shared" si="399"/>
        <v>0</v>
      </c>
      <c r="CS513" s="2">
        <f t="shared" si="399"/>
        <v>0</v>
      </c>
      <c r="CT513" s="2">
        <f t="shared" si="399"/>
        <v>0</v>
      </c>
      <c r="CU513" s="2">
        <f t="shared" si="399"/>
        <v>0</v>
      </c>
      <c r="CV513" s="2">
        <f t="shared" si="399"/>
        <v>0</v>
      </c>
      <c r="CW513" s="2">
        <f t="shared" si="399"/>
        <v>0</v>
      </c>
      <c r="CX513" s="2">
        <f t="shared" si="399"/>
        <v>0</v>
      </c>
      <c r="CY513" s="2">
        <f t="shared" si="399"/>
        <v>0</v>
      </c>
      <c r="CZ513" s="2">
        <f t="shared" si="399"/>
        <v>0</v>
      </c>
      <c r="DA513" s="2">
        <f t="shared" si="399"/>
        <v>0</v>
      </c>
      <c r="DB513" s="2">
        <f t="shared" si="399"/>
        <v>0</v>
      </c>
      <c r="DC513" s="2">
        <f t="shared" si="399"/>
        <v>0</v>
      </c>
      <c r="DD513" s="2">
        <f t="shared" si="399"/>
        <v>0</v>
      </c>
      <c r="DE513" s="2">
        <f t="shared" si="399"/>
        <v>0</v>
      </c>
      <c r="DF513" s="2">
        <f t="shared" si="399"/>
        <v>0</v>
      </c>
      <c r="DG513" s="3">
        <f t="shared" ref="DG513:EL513" si="400">DG527</f>
        <v>0</v>
      </c>
      <c r="DH513" s="3">
        <f t="shared" si="400"/>
        <v>0</v>
      </c>
      <c r="DI513" s="3">
        <f t="shared" si="400"/>
        <v>0</v>
      </c>
      <c r="DJ513" s="3">
        <f t="shared" si="400"/>
        <v>0</v>
      </c>
      <c r="DK513" s="3">
        <f t="shared" si="400"/>
        <v>0</v>
      </c>
      <c r="DL513" s="3">
        <f t="shared" si="400"/>
        <v>0</v>
      </c>
      <c r="DM513" s="3">
        <f t="shared" si="400"/>
        <v>0</v>
      </c>
      <c r="DN513" s="3">
        <f t="shared" si="400"/>
        <v>0</v>
      </c>
      <c r="DO513" s="3">
        <f t="shared" si="400"/>
        <v>0</v>
      </c>
      <c r="DP513" s="3">
        <f t="shared" si="400"/>
        <v>0</v>
      </c>
      <c r="DQ513" s="3">
        <f t="shared" si="400"/>
        <v>0</v>
      </c>
      <c r="DR513" s="3">
        <f t="shared" si="400"/>
        <v>0</v>
      </c>
      <c r="DS513" s="3">
        <f t="shared" si="400"/>
        <v>0</v>
      </c>
      <c r="DT513" s="3">
        <f t="shared" si="400"/>
        <v>0</v>
      </c>
      <c r="DU513" s="3">
        <f t="shared" si="400"/>
        <v>0</v>
      </c>
      <c r="DV513" s="3">
        <f t="shared" si="400"/>
        <v>0</v>
      </c>
      <c r="DW513" s="3">
        <f t="shared" si="400"/>
        <v>0</v>
      </c>
      <c r="DX513" s="3">
        <f t="shared" si="400"/>
        <v>0</v>
      </c>
      <c r="DY513" s="3">
        <f t="shared" si="400"/>
        <v>0</v>
      </c>
      <c r="DZ513" s="3">
        <f t="shared" si="400"/>
        <v>0</v>
      </c>
      <c r="EA513" s="3">
        <f t="shared" si="400"/>
        <v>0</v>
      </c>
      <c r="EB513" s="3">
        <f t="shared" si="400"/>
        <v>0</v>
      </c>
      <c r="EC513" s="3">
        <f t="shared" si="400"/>
        <v>0</v>
      </c>
      <c r="ED513" s="3">
        <f t="shared" si="400"/>
        <v>0</v>
      </c>
      <c r="EE513" s="3">
        <f t="shared" si="400"/>
        <v>0</v>
      </c>
      <c r="EF513" s="3">
        <f t="shared" si="400"/>
        <v>0</v>
      </c>
      <c r="EG513" s="3">
        <f t="shared" si="400"/>
        <v>0</v>
      </c>
      <c r="EH513" s="3">
        <f t="shared" si="400"/>
        <v>0</v>
      </c>
      <c r="EI513" s="3">
        <f t="shared" si="400"/>
        <v>0</v>
      </c>
      <c r="EJ513" s="3">
        <f t="shared" si="400"/>
        <v>0</v>
      </c>
      <c r="EK513" s="3">
        <f t="shared" si="400"/>
        <v>0</v>
      </c>
      <c r="EL513" s="3">
        <f t="shared" si="400"/>
        <v>0</v>
      </c>
      <c r="EM513" s="3">
        <f t="shared" ref="EM513:FR513" si="401">EM527</f>
        <v>0</v>
      </c>
      <c r="EN513" s="3">
        <f t="shared" si="401"/>
        <v>0</v>
      </c>
      <c r="EO513" s="3">
        <f t="shared" si="401"/>
        <v>0</v>
      </c>
      <c r="EP513" s="3">
        <f t="shared" si="401"/>
        <v>0</v>
      </c>
      <c r="EQ513" s="3">
        <f t="shared" si="401"/>
        <v>0</v>
      </c>
      <c r="ER513" s="3">
        <f t="shared" si="401"/>
        <v>0</v>
      </c>
      <c r="ES513" s="3">
        <f t="shared" si="401"/>
        <v>0</v>
      </c>
      <c r="ET513" s="3">
        <f t="shared" si="401"/>
        <v>0</v>
      </c>
      <c r="EU513" s="3">
        <f t="shared" si="401"/>
        <v>0</v>
      </c>
      <c r="EV513" s="3">
        <f t="shared" si="401"/>
        <v>0</v>
      </c>
      <c r="EW513" s="3">
        <f t="shared" si="401"/>
        <v>0</v>
      </c>
      <c r="EX513" s="3">
        <f t="shared" si="401"/>
        <v>0</v>
      </c>
      <c r="EY513" s="3">
        <f t="shared" si="401"/>
        <v>0</v>
      </c>
      <c r="EZ513" s="3">
        <f t="shared" si="401"/>
        <v>0</v>
      </c>
      <c r="FA513" s="3">
        <f t="shared" si="401"/>
        <v>0</v>
      </c>
      <c r="FB513" s="3">
        <f t="shared" si="401"/>
        <v>0</v>
      </c>
      <c r="FC513" s="3">
        <f t="shared" si="401"/>
        <v>0</v>
      </c>
      <c r="FD513" s="3">
        <f t="shared" si="401"/>
        <v>0</v>
      </c>
      <c r="FE513" s="3">
        <f t="shared" si="401"/>
        <v>0</v>
      </c>
      <c r="FF513" s="3">
        <f t="shared" si="401"/>
        <v>0</v>
      </c>
      <c r="FG513" s="3">
        <f t="shared" si="401"/>
        <v>0</v>
      </c>
      <c r="FH513" s="3">
        <f t="shared" si="401"/>
        <v>0</v>
      </c>
      <c r="FI513" s="3">
        <f t="shared" si="401"/>
        <v>0</v>
      </c>
      <c r="FJ513" s="3">
        <f t="shared" si="401"/>
        <v>0</v>
      </c>
      <c r="FK513" s="3">
        <f t="shared" si="401"/>
        <v>0</v>
      </c>
      <c r="FL513" s="3">
        <f t="shared" si="401"/>
        <v>0</v>
      </c>
      <c r="FM513" s="3">
        <f t="shared" si="401"/>
        <v>0</v>
      </c>
      <c r="FN513" s="3">
        <f t="shared" si="401"/>
        <v>0</v>
      </c>
      <c r="FO513" s="3">
        <f t="shared" si="401"/>
        <v>0</v>
      </c>
      <c r="FP513" s="3">
        <f t="shared" si="401"/>
        <v>0</v>
      </c>
      <c r="FQ513" s="3">
        <f t="shared" si="401"/>
        <v>0</v>
      </c>
      <c r="FR513" s="3">
        <f t="shared" si="401"/>
        <v>0</v>
      </c>
      <c r="FS513" s="3">
        <f t="shared" ref="FS513:GX513" si="402">FS527</f>
        <v>0</v>
      </c>
      <c r="FT513" s="3">
        <f t="shared" si="402"/>
        <v>0</v>
      </c>
      <c r="FU513" s="3">
        <f t="shared" si="402"/>
        <v>0</v>
      </c>
      <c r="FV513" s="3">
        <f t="shared" si="402"/>
        <v>0</v>
      </c>
      <c r="FW513" s="3">
        <f t="shared" si="402"/>
        <v>0</v>
      </c>
      <c r="FX513" s="3">
        <f t="shared" si="402"/>
        <v>0</v>
      </c>
      <c r="FY513" s="3">
        <f t="shared" si="402"/>
        <v>0</v>
      </c>
      <c r="FZ513" s="3">
        <f t="shared" si="402"/>
        <v>0</v>
      </c>
      <c r="GA513" s="3">
        <f t="shared" si="402"/>
        <v>0</v>
      </c>
      <c r="GB513" s="3">
        <f t="shared" si="402"/>
        <v>0</v>
      </c>
      <c r="GC513" s="3">
        <f t="shared" si="402"/>
        <v>0</v>
      </c>
      <c r="GD513" s="3">
        <f t="shared" si="402"/>
        <v>0</v>
      </c>
      <c r="GE513" s="3">
        <f t="shared" si="402"/>
        <v>0</v>
      </c>
      <c r="GF513" s="3">
        <f t="shared" si="402"/>
        <v>0</v>
      </c>
      <c r="GG513" s="3">
        <f t="shared" si="402"/>
        <v>0</v>
      </c>
      <c r="GH513" s="3">
        <f t="shared" si="402"/>
        <v>0</v>
      </c>
      <c r="GI513" s="3">
        <f t="shared" si="402"/>
        <v>0</v>
      </c>
      <c r="GJ513" s="3">
        <f t="shared" si="402"/>
        <v>0</v>
      </c>
      <c r="GK513" s="3">
        <f t="shared" si="402"/>
        <v>0</v>
      </c>
      <c r="GL513" s="3">
        <f t="shared" si="402"/>
        <v>0</v>
      </c>
      <c r="GM513" s="3">
        <f t="shared" si="402"/>
        <v>0</v>
      </c>
      <c r="GN513" s="3">
        <f t="shared" si="402"/>
        <v>0</v>
      </c>
      <c r="GO513" s="3">
        <f t="shared" si="402"/>
        <v>0</v>
      </c>
      <c r="GP513" s="3">
        <f t="shared" si="402"/>
        <v>0</v>
      </c>
      <c r="GQ513" s="3">
        <f t="shared" si="402"/>
        <v>0</v>
      </c>
      <c r="GR513" s="3">
        <f t="shared" si="402"/>
        <v>0</v>
      </c>
      <c r="GS513" s="3">
        <f t="shared" si="402"/>
        <v>0</v>
      </c>
      <c r="GT513" s="3">
        <f t="shared" si="402"/>
        <v>0</v>
      </c>
      <c r="GU513" s="3">
        <f t="shared" si="402"/>
        <v>0</v>
      </c>
      <c r="GV513" s="3">
        <f t="shared" si="402"/>
        <v>0</v>
      </c>
      <c r="GW513" s="3">
        <f t="shared" si="402"/>
        <v>0</v>
      </c>
      <c r="GX513" s="3">
        <f t="shared" si="402"/>
        <v>0</v>
      </c>
    </row>
    <row r="515" spans="1:245" x14ac:dyDescent="0.2">
      <c r="A515">
        <v>17</v>
      </c>
      <c r="B515">
        <v>1</v>
      </c>
      <c r="D515">
        <f>ROW(EtalonRes!A265)</f>
        <v>265</v>
      </c>
      <c r="E515" t="s">
        <v>3</v>
      </c>
      <c r="F515" t="s">
        <v>403</v>
      </c>
      <c r="G515" t="s">
        <v>404</v>
      </c>
      <c r="H515" t="s">
        <v>405</v>
      </c>
      <c r="I515">
        <v>6</v>
      </c>
      <c r="J515">
        <v>0</v>
      </c>
      <c r="K515">
        <v>6</v>
      </c>
      <c r="O515">
        <f t="shared" ref="O515:O525" si="403">ROUND(CP515,2)</f>
        <v>98384.16</v>
      </c>
      <c r="P515">
        <f t="shared" ref="P515:P525" si="404">ROUND(CQ515*I515,2)</f>
        <v>56.4</v>
      </c>
      <c r="Q515">
        <f t="shared" ref="Q515:Q525" si="405">ROUND(CR515*I515,2)</f>
        <v>50926.2</v>
      </c>
      <c r="R515">
        <f t="shared" ref="R515:R525" si="406">ROUND(CS515*I515,2)</f>
        <v>27456.36</v>
      </c>
      <c r="S515">
        <f t="shared" ref="S515:S525" si="407">ROUND(CT515*I515,2)</f>
        <v>47401.56</v>
      </c>
      <c r="T515">
        <f t="shared" ref="T515:T525" si="408">ROUND(CU515*I515,2)</f>
        <v>0</v>
      </c>
      <c r="U515">
        <f t="shared" ref="U515:U525" si="409">CV515*I515</f>
        <v>90.72</v>
      </c>
      <c r="V515">
        <f t="shared" ref="V515:V525" si="410">CW515*I515</f>
        <v>0</v>
      </c>
      <c r="W515">
        <f t="shared" ref="W515:W525" si="411">ROUND(CX515*I515,2)</f>
        <v>0</v>
      </c>
      <c r="X515">
        <f t="shared" ref="X515:X525" si="412">ROUND(CY515,2)</f>
        <v>33181.089999999997</v>
      </c>
      <c r="Y515">
        <f t="shared" ref="Y515:Y525" si="413">ROUND(CZ515,2)</f>
        <v>4740.16</v>
      </c>
      <c r="AA515">
        <v>-1</v>
      </c>
      <c r="AB515">
        <f t="shared" ref="AB515:AB525" si="414">ROUND((AC515+AD515+AF515),6)</f>
        <v>16397.36</v>
      </c>
      <c r="AC515">
        <f>ROUND(((ES515*2)),6)</f>
        <v>9.4</v>
      </c>
      <c r="AD515">
        <f>ROUND(((((ET515*2))-((EU515*2)))+AE515),6)</f>
        <v>8487.7000000000007</v>
      </c>
      <c r="AE515">
        <f t="shared" ref="AE515:AF517" si="415">ROUND(((EU515*2)),6)</f>
        <v>4576.0600000000004</v>
      </c>
      <c r="AF515">
        <f t="shared" si="415"/>
        <v>7900.26</v>
      </c>
      <c r="AG515">
        <f t="shared" ref="AG515:AG525" si="416">ROUND((AP515),6)</f>
        <v>0</v>
      </c>
      <c r="AH515">
        <f t="shared" ref="AH515:AI517" si="417">((EW515*2))</f>
        <v>15.12</v>
      </c>
      <c r="AI515">
        <f t="shared" si="417"/>
        <v>0</v>
      </c>
      <c r="AJ515">
        <f t="shared" ref="AJ515:AJ525" si="418">(AS515)</f>
        <v>0</v>
      </c>
      <c r="AK515">
        <v>8198.68</v>
      </c>
      <c r="AL515">
        <v>4.7</v>
      </c>
      <c r="AM515">
        <v>4243.8500000000004</v>
      </c>
      <c r="AN515">
        <v>2288.0300000000002</v>
      </c>
      <c r="AO515">
        <v>3950.13</v>
      </c>
      <c r="AP515">
        <v>0</v>
      </c>
      <c r="AQ515">
        <v>7.56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406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ref="CP515:CP525" si="419">(P515+Q515+S515)</f>
        <v>98384.16</v>
      </c>
      <c r="CQ515">
        <f t="shared" ref="CQ515:CQ525" si="420">(AC515*BC515*AW515)</f>
        <v>9.4</v>
      </c>
      <c r="CR515">
        <f>(((((ET515*2))*BB515-((EU515*2))*BS515)+AE515*BS515)*AV515)</f>
        <v>8487.7000000000007</v>
      </c>
      <c r="CS515">
        <f t="shared" ref="CS515:CS525" si="421">(AE515*BS515*AV515)</f>
        <v>4576.0600000000004</v>
      </c>
      <c r="CT515">
        <f t="shared" ref="CT515:CT525" si="422">(AF515*BA515*AV515)</f>
        <v>7900.26</v>
      </c>
      <c r="CU515">
        <f t="shared" ref="CU515:CU525" si="423">AG515</f>
        <v>0</v>
      </c>
      <c r="CV515">
        <f t="shared" ref="CV515:CV525" si="424">(AH515*AV515)</f>
        <v>15.12</v>
      </c>
      <c r="CW515">
        <f t="shared" ref="CW515:CW525" si="425">AI515</f>
        <v>0</v>
      </c>
      <c r="CX515">
        <f t="shared" ref="CX515:CX525" si="426">AJ515</f>
        <v>0</v>
      </c>
      <c r="CY515">
        <f t="shared" ref="CY515:CY525" si="427">((S515*BZ515)/100)</f>
        <v>33181.091999999997</v>
      </c>
      <c r="CZ515">
        <f t="shared" ref="CZ515:CZ525" si="428">((S515*CA515)/100)</f>
        <v>4740.1559999999999</v>
      </c>
      <c r="DC515" t="s">
        <v>3</v>
      </c>
      <c r="DD515" t="s">
        <v>52</v>
      </c>
      <c r="DE515" t="s">
        <v>52</v>
      </c>
      <c r="DF515" t="s">
        <v>52</v>
      </c>
      <c r="DG515" t="s">
        <v>52</v>
      </c>
      <c r="DH515" t="s">
        <v>3</v>
      </c>
      <c r="DI515" t="s">
        <v>52</v>
      </c>
      <c r="DJ515" t="s">
        <v>52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1013</v>
      </c>
      <c r="DV515" t="s">
        <v>405</v>
      </c>
      <c r="DW515" t="s">
        <v>405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1364533919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1311744</v>
      </c>
      <c r="ER515">
        <v>8198.68</v>
      </c>
      <c r="ES515">
        <v>4.7</v>
      </c>
      <c r="ET515">
        <v>4243.8500000000004</v>
      </c>
      <c r="EU515">
        <v>2288.0300000000002</v>
      </c>
      <c r="EV515">
        <v>3950.13</v>
      </c>
      <c r="EW515">
        <v>7.56</v>
      </c>
      <c r="EX515">
        <v>0</v>
      </c>
      <c r="EY515">
        <v>0</v>
      </c>
      <c r="FQ515">
        <v>0</v>
      </c>
      <c r="FR515">
        <f t="shared" ref="FR515:FR525" si="429">ROUND(IF(BI515=3,GM515,0),2)</f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1578089436</v>
      </c>
      <c r="GG515">
        <v>2</v>
      </c>
      <c r="GH515">
        <v>1</v>
      </c>
      <c r="GI515">
        <v>-2</v>
      </c>
      <c r="GJ515">
        <v>0</v>
      </c>
      <c r="GK515">
        <f>ROUND(R515*(R12)/100,2)</f>
        <v>29652.87</v>
      </c>
      <c r="GL515">
        <f t="shared" ref="GL515:GL525" si="430">ROUND(IF(AND(BH515=3,BI515=3,FS515&lt;&gt;0),P515,0),2)</f>
        <v>0</v>
      </c>
      <c r="GM515">
        <f t="shared" ref="GM515:GM525" si="431">ROUND(O515+X515+Y515+GK515,2)+GX515</f>
        <v>165958.28</v>
      </c>
      <c r="GN515">
        <f t="shared" ref="GN515:GN525" si="432">IF(OR(BI515=0,BI515=1),ROUND(O515+X515+Y515+GK515,2),0)</f>
        <v>0</v>
      </c>
      <c r="GO515">
        <f t="shared" ref="GO515:GO525" si="433">IF(BI515=2,ROUND(O515+X515+Y515+GK515,2),0)</f>
        <v>0</v>
      </c>
      <c r="GP515">
        <f t="shared" ref="GP515:GP525" si="434">IF(BI515=4,ROUND(O515+X515+Y515+GK515,2)+GX515,0)</f>
        <v>165958.28</v>
      </c>
      <c r="GR515">
        <v>0</v>
      </c>
      <c r="GS515">
        <v>3</v>
      </c>
      <c r="GT515">
        <v>0</v>
      </c>
      <c r="GU515" t="s">
        <v>3</v>
      </c>
      <c r="GV515">
        <f t="shared" ref="GV515:GV525" si="435">ROUND((GT515),6)</f>
        <v>0</v>
      </c>
      <c r="GW515">
        <v>1</v>
      </c>
      <c r="GX515">
        <f t="shared" ref="GX515:GX525" si="436">ROUND(HC515*I515,2)</f>
        <v>0</v>
      </c>
      <c r="HA515">
        <v>0</v>
      </c>
      <c r="HB515">
        <v>0</v>
      </c>
      <c r="HC515">
        <f t="shared" ref="HC515:HC525" si="437">GV515*GW515</f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ROW(EtalonRes!A267)</f>
        <v>267</v>
      </c>
      <c r="E516" t="s">
        <v>15</v>
      </c>
      <c r="F516" t="s">
        <v>407</v>
      </c>
      <c r="G516" t="s">
        <v>408</v>
      </c>
      <c r="H516" t="s">
        <v>405</v>
      </c>
      <c r="I516">
        <v>2</v>
      </c>
      <c r="J516">
        <v>0</v>
      </c>
      <c r="K516">
        <v>2</v>
      </c>
      <c r="O516">
        <f t="shared" si="403"/>
        <v>3420.64</v>
      </c>
      <c r="P516">
        <f t="shared" si="404"/>
        <v>0.44</v>
      </c>
      <c r="Q516">
        <f t="shared" si="405"/>
        <v>0</v>
      </c>
      <c r="R516">
        <f t="shared" si="406"/>
        <v>0</v>
      </c>
      <c r="S516">
        <f t="shared" si="407"/>
        <v>3420.2</v>
      </c>
      <c r="T516">
        <f t="shared" si="408"/>
        <v>0</v>
      </c>
      <c r="U516">
        <f t="shared" si="409"/>
        <v>6</v>
      </c>
      <c r="V516">
        <f t="shared" si="410"/>
        <v>0</v>
      </c>
      <c r="W516">
        <f t="shared" si="411"/>
        <v>0</v>
      </c>
      <c r="X516">
        <f t="shared" si="412"/>
        <v>2394.14</v>
      </c>
      <c r="Y516">
        <f t="shared" si="413"/>
        <v>342.02</v>
      </c>
      <c r="AA516">
        <v>1407491423</v>
      </c>
      <c r="AB516">
        <f t="shared" si="414"/>
        <v>1710.32</v>
      </c>
      <c r="AC516">
        <f>ROUND(((ES516*2)),6)</f>
        <v>0.22</v>
      </c>
      <c r="AD516">
        <f>ROUND(((((ET516*2))-((EU516*2)))+AE516),6)</f>
        <v>0</v>
      </c>
      <c r="AE516">
        <f t="shared" si="415"/>
        <v>0</v>
      </c>
      <c r="AF516">
        <f t="shared" si="415"/>
        <v>1710.1</v>
      </c>
      <c r="AG516">
        <f t="shared" si="416"/>
        <v>0</v>
      </c>
      <c r="AH516">
        <f t="shared" si="417"/>
        <v>3</v>
      </c>
      <c r="AI516">
        <f t="shared" si="417"/>
        <v>0</v>
      </c>
      <c r="AJ516">
        <f t="shared" si="418"/>
        <v>0</v>
      </c>
      <c r="AK516">
        <v>855.16</v>
      </c>
      <c r="AL516">
        <v>0.11</v>
      </c>
      <c r="AM516">
        <v>0</v>
      </c>
      <c r="AN516">
        <v>0</v>
      </c>
      <c r="AO516">
        <v>855.05</v>
      </c>
      <c r="AP516">
        <v>0</v>
      </c>
      <c r="AQ516">
        <v>1.5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409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19"/>
        <v>3420.64</v>
      </c>
      <c r="CQ516">
        <f t="shared" si="420"/>
        <v>0.22</v>
      </c>
      <c r="CR516">
        <f>(((((ET516*2))*BB516-((EU516*2))*BS516)+AE516*BS516)*AV516)</f>
        <v>0</v>
      </c>
      <c r="CS516">
        <f t="shared" si="421"/>
        <v>0</v>
      </c>
      <c r="CT516">
        <f t="shared" si="422"/>
        <v>1710.1</v>
      </c>
      <c r="CU516">
        <f t="shared" si="423"/>
        <v>0</v>
      </c>
      <c r="CV516">
        <f t="shared" si="424"/>
        <v>3</v>
      </c>
      <c r="CW516">
        <f t="shared" si="425"/>
        <v>0</v>
      </c>
      <c r="CX516">
        <f t="shared" si="426"/>
        <v>0</v>
      </c>
      <c r="CY516">
        <f t="shared" si="427"/>
        <v>2394.14</v>
      </c>
      <c r="CZ516">
        <f t="shared" si="428"/>
        <v>342.02</v>
      </c>
      <c r="DC516" t="s">
        <v>3</v>
      </c>
      <c r="DD516" t="s">
        <v>52</v>
      </c>
      <c r="DE516" t="s">
        <v>52</v>
      </c>
      <c r="DF516" t="s">
        <v>52</v>
      </c>
      <c r="DG516" t="s">
        <v>52</v>
      </c>
      <c r="DH516" t="s">
        <v>3</v>
      </c>
      <c r="DI516" t="s">
        <v>52</v>
      </c>
      <c r="DJ516" t="s">
        <v>52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1013</v>
      </c>
      <c r="DV516" t="s">
        <v>405</v>
      </c>
      <c r="DW516" t="s">
        <v>405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1364533919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0</v>
      </c>
      <c r="ER516">
        <v>855.16</v>
      </c>
      <c r="ES516">
        <v>0.11</v>
      </c>
      <c r="ET516">
        <v>0</v>
      </c>
      <c r="EU516">
        <v>0</v>
      </c>
      <c r="EV516">
        <v>855.05</v>
      </c>
      <c r="EW516">
        <v>1.5</v>
      </c>
      <c r="EX516">
        <v>0</v>
      </c>
      <c r="EY516">
        <v>0</v>
      </c>
      <c r="FQ516">
        <v>0</v>
      </c>
      <c r="FR516">
        <f t="shared" si="429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-246794831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30"/>
        <v>0</v>
      </c>
      <c r="GM516">
        <f t="shared" si="431"/>
        <v>6156.8</v>
      </c>
      <c r="GN516">
        <f t="shared" si="432"/>
        <v>0</v>
      </c>
      <c r="GO516">
        <f t="shared" si="433"/>
        <v>0</v>
      </c>
      <c r="GP516">
        <f t="shared" si="434"/>
        <v>6156.8</v>
      </c>
      <c r="GR516">
        <v>0</v>
      </c>
      <c r="GS516">
        <v>3</v>
      </c>
      <c r="GT516">
        <v>0</v>
      </c>
      <c r="GU516" t="s">
        <v>3</v>
      </c>
      <c r="GV516">
        <f t="shared" si="435"/>
        <v>0</v>
      </c>
      <c r="GW516">
        <v>1</v>
      </c>
      <c r="GX516">
        <f t="shared" si="436"/>
        <v>0</v>
      </c>
      <c r="HA516">
        <v>0</v>
      </c>
      <c r="HB516">
        <v>0</v>
      </c>
      <c r="HC516">
        <f t="shared" si="437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ROW(EtalonRes!A269)</f>
        <v>269</v>
      </c>
      <c r="E517" t="s">
        <v>24</v>
      </c>
      <c r="F517" t="s">
        <v>410</v>
      </c>
      <c r="G517" t="s">
        <v>411</v>
      </c>
      <c r="H517" t="s">
        <v>405</v>
      </c>
      <c r="I517">
        <v>2</v>
      </c>
      <c r="J517">
        <v>0</v>
      </c>
      <c r="K517">
        <v>2</v>
      </c>
      <c r="O517">
        <f t="shared" si="403"/>
        <v>6339.2</v>
      </c>
      <c r="P517">
        <f t="shared" si="404"/>
        <v>0.4</v>
      </c>
      <c r="Q517">
        <f t="shared" si="405"/>
        <v>0</v>
      </c>
      <c r="R517">
        <f t="shared" si="406"/>
        <v>0</v>
      </c>
      <c r="S517">
        <f t="shared" si="407"/>
        <v>6338.8</v>
      </c>
      <c r="T517">
        <f t="shared" si="408"/>
        <v>0</v>
      </c>
      <c r="U517">
        <f t="shared" si="409"/>
        <v>11.12</v>
      </c>
      <c r="V517">
        <f t="shared" si="410"/>
        <v>0</v>
      </c>
      <c r="W517">
        <f t="shared" si="411"/>
        <v>0</v>
      </c>
      <c r="X517">
        <f t="shared" si="412"/>
        <v>4437.16</v>
      </c>
      <c r="Y517">
        <f t="shared" si="413"/>
        <v>633.88</v>
      </c>
      <c r="AA517">
        <v>1407491423</v>
      </c>
      <c r="AB517">
        <f t="shared" si="414"/>
        <v>3169.6</v>
      </c>
      <c r="AC517">
        <f>ROUND(((ES517*2)),6)</f>
        <v>0.2</v>
      </c>
      <c r="AD517">
        <f>ROUND(((((ET517*2))-((EU517*2)))+AE517),6)</f>
        <v>0</v>
      </c>
      <c r="AE517">
        <f t="shared" si="415"/>
        <v>0</v>
      </c>
      <c r="AF517">
        <f t="shared" si="415"/>
        <v>3169.4</v>
      </c>
      <c r="AG517">
        <f t="shared" si="416"/>
        <v>0</v>
      </c>
      <c r="AH517">
        <f t="shared" si="417"/>
        <v>5.56</v>
      </c>
      <c r="AI517">
        <f t="shared" si="417"/>
        <v>0</v>
      </c>
      <c r="AJ517">
        <f t="shared" si="418"/>
        <v>0</v>
      </c>
      <c r="AK517">
        <v>1584.8</v>
      </c>
      <c r="AL517">
        <v>0.1</v>
      </c>
      <c r="AM517">
        <v>0</v>
      </c>
      <c r="AN517">
        <v>0</v>
      </c>
      <c r="AO517">
        <v>1584.7</v>
      </c>
      <c r="AP517">
        <v>0</v>
      </c>
      <c r="AQ517">
        <v>2.78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412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19"/>
        <v>6339.2</v>
      </c>
      <c r="CQ517">
        <f t="shared" si="420"/>
        <v>0.2</v>
      </c>
      <c r="CR517">
        <f>(((((ET517*2))*BB517-((EU517*2))*BS517)+AE517*BS517)*AV517)</f>
        <v>0</v>
      </c>
      <c r="CS517">
        <f t="shared" si="421"/>
        <v>0</v>
      </c>
      <c r="CT517">
        <f t="shared" si="422"/>
        <v>3169.4</v>
      </c>
      <c r="CU517">
        <f t="shared" si="423"/>
        <v>0</v>
      </c>
      <c r="CV517">
        <f t="shared" si="424"/>
        <v>5.56</v>
      </c>
      <c r="CW517">
        <f t="shared" si="425"/>
        <v>0</v>
      </c>
      <c r="CX517">
        <f t="shared" si="426"/>
        <v>0</v>
      </c>
      <c r="CY517">
        <f t="shared" si="427"/>
        <v>4437.16</v>
      </c>
      <c r="CZ517">
        <f t="shared" si="428"/>
        <v>633.88</v>
      </c>
      <c r="DC517" t="s">
        <v>3</v>
      </c>
      <c r="DD517" t="s">
        <v>52</v>
      </c>
      <c r="DE517" t="s">
        <v>52</v>
      </c>
      <c r="DF517" t="s">
        <v>52</v>
      </c>
      <c r="DG517" t="s">
        <v>52</v>
      </c>
      <c r="DH517" t="s">
        <v>3</v>
      </c>
      <c r="DI517" t="s">
        <v>52</v>
      </c>
      <c r="DJ517" t="s">
        <v>52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1013</v>
      </c>
      <c r="DV517" t="s">
        <v>405</v>
      </c>
      <c r="DW517" t="s">
        <v>405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1364533919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1584.8</v>
      </c>
      <c r="ES517">
        <v>0.1</v>
      </c>
      <c r="ET517">
        <v>0</v>
      </c>
      <c r="EU517">
        <v>0</v>
      </c>
      <c r="EV517">
        <v>1584.7</v>
      </c>
      <c r="EW517">
        <v>2.78</v>
      </c>
      <c r="EX517">
        <v>0</v>
      </c>
      <c r="EY517">
        <v>0</v>
      </c>
      <c r="FQ517">
        <v>0</v>
      </c>
      <c r="FR517">
        <f t="shared" si="429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-183507307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430"/>
        <v>0</v>
      </c>
      <c r="GM517">
        <f t="shared" si="431"/>
        <v>11410.24</v>
      </c>
      <c r="GN517">
        <f t="shared" si="432"/>
        <v>0</v>
      </c>
      <c r="GO517">
        <f t="shared" si="433"/>
        <v>0</v>
      </c>
      <c r="GP517">
        <f t="shared" si="434"/>
        <v>11410.24</v>
      </c>
      <c r="GR517">
        <v>0</v>
      </c>
      <c r="GS517">
        <v>3</v>
      </c>
      <c r="GT517">
        <v>0</v>
      </c>
      <c r="GU517" t="s">
        <v>3</v>
      </c>
      <c r="GV517">
        <f t="shared" si="435"/>
        <v>0</v>
      </c>
      <c r="GW517">
        <v>1</v>
      </c>
      <c r="GX517">
        <f t="shared" si="436"/>
        <v>0</v>
      </c>
      <c r="HA517">
        <v>0</v>
      </c>
      <c r="HB517">
        <v>0</v>
      </c>
      <c r="HC517">
        <f t="shared" si="437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ROW(EtalonRes!A272)</f>
        <v>272</v>
      </c>
      <c r="E518" t="s">
        <v>3</v>
      </c>
      <c r="F518" t="s">
        <v>413</v>
      </c>
      <c r="G518" t="s">
        <v>414</v>
      </c>
      <c r="H518" t="s">
        <v>405</v>
      </c>
      <c r="I518">
        <v>2</v>
      </c>
      <c r="J518">
        <v>0</v>
      </c>
      <c r="K518">
        <v>2</v>
      </c>
      <c r="O518">
        <f t="shared" si="403"/>
        <v>9110.0400000000009</v>
      </c>
      <c r="P518">
        <f t="shared" si="404"/>
        <v>12.28</v>
      </c>
      <c r="Q518">
        <f t="shared" si="405"/>
        <v>0</v>
      </c>
      <c r="R518">
        <f t="shared" si="406"/>
        <v>0</v>
      </c>
      <c r="S518">
        <f t="shared" si="407"/>
        <v>9097.76</v>
      </c>
      <c r="T518">
        <f t="shared" si="408"/>
        <v>0</v>
      </c>
      <c r="U518">
        <f t="shared" si="409"/>
        <v>15.96</v>
      </c>
      <c r="V518">
        <f t="shared" si="410"/>
        <v>0</v>
      </c>
      <c r="W518">
        <f t="shared" si="411"/>
        <v>0</v>
      </c>
      <c r="X518">
        <f t="shared" si="412"/>
        <v>6368.43</v>
      </c>
      <c r="Y518">
        <f t="shared" si="413"/>
        <v>909.78</v>
      </c>
      <c r="AA518">
        <v>-1</v>
      </c>
      <c r="AB518">
        <f t="shared" si="414"/>
        <v>4555.0200000000004</v>
      </c>
      <c r="AC518">
        <f>ROUND((ES518),6)</f>
        <v>6.14</v>
      </c>
      <c r="AD518">
        <f>ROUND((((ET518)-(EU518))+AE518),6)</f>
        <v>0</v>
      </c>
      <c r="AE518">
        <f>ROUND((EU518),6)</f>
        <v>0</v>
      </c>
      <c r="AF518">
        <f>ROUND((EV518),6)</f>
        <v>4548.88</v>
      </c>
      <c r="AG518">
        <f t="shared" si="416"/>
        <v>0</v>
      </c>
      <c r="AH518">
        <f>(EW518)</f>
        <v>7.98</v>
      </c>
      <c r="AI518">
        <f>(EX518)</f>
        <v>0</v>
      </c>
      <c r="AJ518">
        <f t="shared" si="418"/>
        <v>0</v>
      </c>
      <c r="AK518">
        <v>4555.0200000000004</v>
      </c>
      <c r="AL518">
        <v>6.14</v>
      </c>
      <c r="AM518">
        <v>0</v>
      </c>
      <c r="AN518">
        <v>0</v>
      </c>
      <c r="AO518">
        <v>4548.88</v>
      </c>
      <c r="AP518">
        <v>0</v>
      </c>
      <c r="AQ518">
        <v>7.98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415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19"/>
        <v>9110.0400000000009</v>
      </c>
      <c r="CQ518">
        <f t="shared" si="420"/>
        <v>6.14</v>
      </c>
      <c r="CR518">
        <f>((((ET518)*BB518-(EU518)*BS518)+AE518*BS518)*AV518)</f>
        <v>0</v>
      </c>
      <c r="CS518">
        <f t="shared" si="421"/>
        <v>0</v>
      </c>
      <c r="CT518">
        <f t="shared" si="422"/>
        <v>4548.88</v>
      </c>
      <c r="CU518">
        <f t="shared" si="423"/>
        <v>0</v>
      </c>
      <c r="CV518">
        <f t="shared" si="424"/>
        <v>7.98</v>
      </c>
      <c r="CW518">
        <f t="shared" si="425"/>
        <v>0</v>
      </c>
      <c r="CX518">
        <f t="shared" si="426"/>
        <v>0</v>
      </c>
      <c r="CY518">
        <f t="shared" si="427"/>
        <v>6368.4320000000007</v>
      </c>
      <c r="CZ518">
        <f t="shared" si="428"/>
        <v>909.77600000000007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1013</v>
      </c>
      <c r="DV518" t="s">
        <v>405</v>
      </c>
      <c r="DW518" t="s">
        <v>405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1364533919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1311744</v>
      </c>
      <c r="ER518">
        <v>4555.0200000000004</v>
      </c>
      <c r="ES518">
        <v>6.14</v>
      </c>
      <c r="ET518">
        <v>0</v>
      </c>
      <c r="EU518">
        <v>0</v>
      </c>
      <c r="EV518">
        <v>4548.88</v>
      </c>
      <c r="EW518">
        <v>7.98</v>
      </c>
      <c r="EX518">
        <v>0</v>
      </c>
      <c r="EY518">
        <v>0</v>
      </c>
      <c r="FQ518">
        <v>0</v>
      </c>
      <c r="FR518">
        <f t="shared" si="429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-624442370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30"/>
        <v>0</v>
      </c>
      <c r="GM518">
        <f t="shared" si="431"/>
        <v>16388.25</v>
      </c>
      <c r="GN518">
        <f t="shared" si="432"/>
        <v>0</v>
      </c>
      <c r="GO518">
        <f t="shared" si="433"/>
        <v>0</v>
      </c>
      <c r="GP518">
        <f t="shared" si="434"/>
        <v>16388.25</v>
      </c>
      <c r="GR518">
        <v>0</v>
      </c>
      <c r="GS518">
        <v>3</v>
      </c>
      <c r="GT518">
        <v>0</v>
      </c>
      <c r="GU518" t="s">
        <v>3</v>
      </c>
      <c r="GV518">
        <f t="shared" si="435"/>
        <v>0</v>
      </c>
      <c r="GW518">
        <v>1</v>
      </c>
      <c r="GX518">
        <f t="shared" si="436"/>
        <v>0</v>
      </c>
      <c r="HA518">
        <v>0</v>
      </c>
      <c r="HB518">
        <v>0</v>
      </c>
      <c r="HC518">
        <f t="shared" si="437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ROW(EtalonRes!A275)</f>
        <v>275</v>
      </c>
      <c r="E519" t="s">
        <v>34</v>
      </c>
      <c r="F519" t="s">
        <v>416</v>
      </c>
      <c r="G519" t="s">
        <v>417</v>
      </c>
      <c r="H519" t="s">
        <v>405</v>
      </c>
      <c r="I519">
        <v>4</v>
      </c>
      <c r="J519">
        <v>0</v>
      </c>
      <c r="K519">
        <v>4</v>
      </c>
      <c r="O519">
        <f t="shared" si="403"/>
        <v>8966.8799999999992</v>
      </c>
      <c r="P519">
        <f t="shared" si="404"/>
        <v>6.24</v>
      </c>
      <c r="Q519">
        <f t="shared" si="405"/>
        <v>22.48</v>
      </c>
      <c r="R519">
        <f t="shared" si="406"/>
        <v>0.16</v>
      </c>
      <c r="S519">
        <f t="shared" si="407"/>
        <v>8938.16</v>
      </c>
      <c r="T519">
        <f t="shared" si="408"/>
        <v>0</v>
      </c>
      <c r="U519">
        <f t="shared" si="409"/>
        <v>15.68</v>
      </c>
      <c r="V519">
        <f t="shared" si="410"/>
        <v>0</v>
      </c>
      <c r="W519">
        <f t="shared" si="411"/>
        <v>0</v>
      </c>
      <c r="X519">
        <f t="shared" si="412"/>
        <v>6256.71</v>
      </c>
      <c r="Y519">
        <f t="shared" si="413"/>
        <v>893.82</v>
      </c>
      <c r="AA519">
        <v>1407491423</v>
      </c>
      <c r="AB519">
        <f t="shared" si="414"/>
        <v>2241.7199999999998</v>
      </c>
      <c r="AC519">
        <f>ROUND(((ES519*2)),6)</f>
        <v>1.56</v>
      </c>
      <c r="AD519">
        <f>ROUND(((((ET519*2))-((EU519*2)))+AE519),6)</f>
        <v>5.62</v>
      </c>
      <c r="AE519">
        <f>ROUND(((EU519*2)),6)</f>
        <v>0.04</v>
      </c>
      <c r="AF519">
        <f>ROUND(((EV519*2)),6)</f>
        <v>2234.54</v>
      </c>
      <c r="AG519">
        <f t="shared" si="416"/>
        <v>0</v>
      </c>
      <c r="AH519">
        <f>((EW519*2))</f>
        <v>3.92</v>
      </c>
      <c r="AI519">
        <f>((EX519*2))</f>
        <v>0</v>
      </c>
      <c r="AJ519">
        <f t="shared" si="418"/>
        <v>0</v>
      </c>
      <c r="AK519">
        <v>1120.8599999999999</v>
      </c>
      <c r="AL519">
        <v>0.78</v>
      </c>
      <c r="AM519">
        <v>2.81</v>
      </c>
      <c r="AN519">
        <v>0.02</v>
      </c>
      <c r="AO519">
        <v>1117.27</v>
      </c>
      <c r="AP519">
        <v>0</v>
      </c>
      <c r="AQ519">
        <v>1.96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418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19"/>
        <v>8966.8799999999992</v>
      </c>
      <c r="CQ519">
        <f t="shared" si="420"/>
        <v>1.56</v>
      </c>
      <c r="CR519">
        <f>(((((ET519*2))*BB519-((EU519*2))*BS519)+AE519*BS519)*AV519)</f>
        <v>5.62</v>
      </c>
      <c r="CS519">
        <f t="shared" si="421"/>
        <v>0.04</v>
      </c>
      <c r="CT519">
        <f t="shared" si="422"/>
        <v>2234.54</v>
      </c>
      <c r="CU519">
        <f t="shared" si="423"/>
        <v>0</v>
      </c>
      <c r="CV519">
        <f t="shared" si="424"/>
        <v>3.92</v>
      </c>
      <c r="CW519">
        <f t="shared" si="425"/>
        <v>0</v>
      </c>
      <c r="CX519">
        <f t="shared" si="426"/>
        <v>0</v>
      </c>
      <c r="CY519">
        <f t="shared" si="427"/>
        <v>6256.7119999999995</v>
      </c>
      <c r="CZ519">
        <f t="shared" si="428"/>
        <v>893.81600000000003</v>
      </c>
      <c r="DC519" t="s">
        <v>3</v>
      </c>
      <c r="DD519" t="s">
        <v>52</v>
      </c>
      <c r="DE519" t="s">
        <v>52</v>
      </c>
      <c r="DF519" t="s">
        <v>52</v>
      </c>
      <c r="DG519" t="s">
        <v>52</v>
      </c>
      <c r="DH519" t="s">
        <v>3</v>
      </c>
      <c r="DI519" t="s">
        <v>52</v>
      </c>
      <c r="DJ519" t="s">
        <v>52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1013</v>
      </c>
      <c r="DV519" t="s">
        <v>405</v>
      </c>
      <c r="DW519" t="s">
        <v>405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1364533919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0</v>
      </c>
      <c r="ER519">
        <v>1120.8599999999999</v>
      </c>
      <c r="ES519">
        <v>0.78</v>
      </c>
      <c r="ET519">
        <v>2.81</v>
      </c>
      <c r="EU519">
        <v>0.02</v>
      </c>
      <c r="EV519">
        <v>1117.27</v>
      </c>
      <c r="EW519">
        <v>1.96</v>
      </c>
      <c r="EX519">
        <v>0</v>
      </c>
      <c r="EY519">
        <v>0</v>
      </c>
      <c r="FQ519">
        <v>0</v>
      </c>
      <c r="FR519">
        <f t="shared" si="429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-55201843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0.17</v>
      </c>
      <c r="GL519">
        <f t="shared" si="430"/>
        <v>0</v>
      </c>
      <c r="GM519">
        <f t="shared" si="431"/>
        <v>16117.58</v>
      </c>
      <c r="GN519">
        <f t="shared" si="432"/>
        <v>0</v>
      </c>
      <c r="GO519">
        <f t="shared" si="433"/>
        <v>0</v>
      </c>
      <c r="GP519">
        <f t="shared" si="434"/>
        <v>16117.58</v>
      </c>
      <c r="GR519">
        <v>0</v>
      </c>
      <c r="GS519">
        <v>3</v>
      </c>
      <c r="GT519">
        <v>0</v>
      </c>
      <c r="GU519" t="s">
        <v>3</v>
      </c>
      <c r="GV519">
        <f t="shared" si="435"/>
        <v>0</v>
      </c>
      <c r="GW519">
        <v>1</v>
      </c>
      <c r="GX519">
        <f t="shared" si="436"/>
        <v>0</v>
      </c>
      <c r="HA519">
        <v>0</v>
      </c>
      <c r="HB519">
        <v>0</v>
      </c>
      <c r="HC519">
        <f t="shared" si="437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ROW(EtalonRes!A278)</f>
        <v>278</v>
      </c>
      <c r="E520" t="s">
        <v>39</v>
      </c>
      <c r="F520" t="s">
        <v>419</v>
      </c>
      <c r="G520" t="s">
        <v>420</v>
      </c>
      <c r="H520" t="s">
        <v>405</v>
      </c>
      <c r="I520">
        <v>4</v>
      </c>
      <c r="J520">
        <v>0</v>
      </c>
      <c r="K520">
        <v>4</v>
      </c>
      <c r="O520">
        <f t="shared" si="403"/>
        <v>17379.28</v>
      </c>
      <c r="P520">
        <f t="shared" si="404"/>
        <v>118.96</v>
      </c>
      <c r="Q520">
        <f t="shared" si="405"/>
        <v>22.48</v>
      </c>
      <c r="R520">
        <f t="shared" si="406"/>
        <v>0.16</v>
      </c>
      <c r="S520">
        <f t="shared" si="407"/>
        <v>17237.84</v>
      </c>
      <c r="T520">
        <f t="shared" si="408"/>
        <v>0</v>
      </c>
      <c r="U520">
        <f t="shared" si="409"/>
        <v>30.24</v>
      </c>
      <c r="V520">
        <f t="shared" si="410"/>
        <v>0</v>
      </c>
      <c r="W520">
        <f t="shared" si="411"/>
        <v>0</v>
      </c>
      <c r="X520">
        <f t="shared" si="412"/>
        <v>12066.49</v>
      </c>
      <c r="Y520">
        <f t="shared" si="413"/>
        <v>1723.78</v>
      </c>
      <c r="AA520">
        <v>1407491423</v>
      </c>
      <c r="AB520">
        <f t="shared" si="414"/>
        <v>4344.82</v>
      </c>
      <c r="AC520">
        <f>ROUND(((ES520*2)),6)</f>
        <v>29.74</v>
      </c>
      <c r="AD520">
        <f>ROUND(((((ET520*2))-((EU520*2)))+AE520),6)</f>
        <v>5.62</v>
      </c>
      <c r="AE520">
        <f>ROUND(((EU520*2)),6)</f>
        <v>0.04</v>
      </c>
      <c r="AF520">
        <f>ROUND(((EV520*2)),6)</f>
        <v>4309.46</v>
      </c>
      <c r="AG520">
        <f t="shared" si="416"/>
        <v>0</v>
      </c>
      <c r="AH520">
        <f>((EW520*2))</f>
        <v>7.56</v>
      </c>
      <c r="AI520">
        <f>((EX520*2))</f>
        <v>0</v>
      </c>
      <c r="AJ520">
        <f t="shared" si="418"/>
        <v>0</v>
      </c>
      <c r="AK520">
        <v>2172.41</v>
      </c>
      <c r="AL520">
        <v>14.87</v>
      </c>
      <c r="AM520">
        <v>2.81</v>
      </c>
      <c r="AN520">
        <v>0.02</v>
      </c>
      <c r="AO520">
        <v>2154.73</v>
      </c>
      <c r="AP520">
        <v>0</v>
      </c>
      <c r="AQ520">
        <v>3.78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421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19"/>
        <v>17379.28</v>
      </c>
      <c r="CQ520">
        <f t="shared" si="420"/>
        <v>29.74</v>
      </c>
      <c r="CR520">
        <f>(((((ET520*2))*BB520-((EU520*2))*BS520)+AE520*BS520)*AV520)</f>
        <v>5.62</v>
      </c>
      <c r="CS520">
        <f t="shared" si="421"/>
        <v>0.04</v>
      </c>
      <c r="CT520">
        <f t="shared" si="422"/>
        <v>4309.46</v>
      </c>
      <c r="CU520">
        <f t="shared" si="423"/>
        <v>0</v>
      </c>
      <c r="CV520">
        <f t="shared" si="424"/>
        <v>7.56</v>
      </c>
      <c r="CW520">
        <f t="shared" si="425"/>
        <v>0</v>
      </c>
      <c r="CX520">
        <f t="shared" si="426"/>
        <v>0</v>
      </c>
      <c r="CY520">
        <f t="shared" si="427"/>
        <v>12066.488000000001</v>
      </c>
      <c r="CZ520">
        <f t="shared" si="428"/>
        <v>1723.7839999999999</v>
      </c>
      <c r="DC520" t="s">
        <v>3</v>
      </c>
      <c r="DD520" t="s">
        <v>52</v>
      </c>
      <c r="DE520" t="s">
        <v>52</v>
      </c>
      <c r="DF520" t="s">
        <v>52</v>
      </c>
      <c r="DG520" t="s">
        <v>52</v>
      </c>
      <c r="DH520" t="s">
        <v>3</v>
      </c>
      <c r="DI520" t="s">
        <v>52</v>
      </c>
      <c r="DJ520" t="s">
        <v>52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1013</v>
      </c>
      <c r="DV520" t="s">
        <v>405</v>
      </c>
      <c r="DW520" t="s">
        <v>405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1364533919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0</v>
      </c>
      <c r="ER520">
        <v>2172.41</v>
      </c>
      <c r="ES520">
        <v>14.87</v>
      </c>
      <c r="ET520">
        <v>2.81</v>
      </c>
      <c r="EU520">
        <v>0.02</v>
      </c>
      <c r="EV520">
        <v>2154.73</v>
      </c>
      <c r="EW520">
        <v>3.78</v>
      </c>
      <c r="EX520">
        <v>0</v>
      </c>
      <c r="EY520">
        <v>0</v>
      </c>
      <c r="FQ520">
        <v>0</v>
      </c>
      <c r="FR520">
        <f t="shared" si="429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2000797128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0.17</v>
      </c>
      <c r="GL520">
        <f t="shared" si="430"/>
        <v>0</v>
      </c>
      <c r="GM520">
        <f t="shared" si="431"/>
        <v>31169.72</v>
      </c>
      <c r="GN520">
        <f t="shared" si="432"/>
        <v>0</v>
      </c>
      <c r="GO520">
        <f t="shared" si="433"/>
        <v>0</v>
      </c>
      <c r="GP520">
        <f t="shared" si="434"/>
        <v>31169.72</v>
      </c>
      <c r="GR520">
        <v>0</v>
      </c>
      <c r="GS520">
        <v>3</v>
      </c>
      <c r="GT520">
        <v>0</v>
      </c>
      <c r="GU520" t="s">
        <v>3</v>
      </c>
      <c r="GV520">
        <f t="shared" si="435"/>
        <v>0</v>
      </c>
      <c r="GW520">
        <v>1</v>
      </c>
      <c r="GX520">
        <f t="shared" si="436"/>
        <v>0</v>
      </c>
      <c r="HA520">
        <v>0</v>
      </c>
      <c r="HB520">
        <v>0</v>
      </c>
      <c r="HC520">
        <f t="shared" si="437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ROW(EtalonRes!A282)</f>
        <v>282</v>
      </c>
      <c r="E521" t="s">
        <v>44</v>
      </c>
      <c r="F521" t="s">
        <v>422</v>
      </c>
      <c r="G521" t="s">
        <v>423</v>
      </c>
      <c r="H521" t="s">
        <v>405</v>
      </c>
      <c r="I521">
        <v>4</v>
      </c>
      <c r="J521">
        <v>0</v>
      </c>
      <c r="K521">
        <v>4</v>
      </c>
      <c r="O521">
        <f t="shared" si="403"/>
        <v>21799.32</v>
      </c>
      <c r="P521">
        <f t="shared" si="404"/>
        <v>77.319999999999993</v>
      </c>
      <c r="Q521">
        <f t="shared" si="405"/>
        <v>60.68</v>
      </c>
      <c r="R521">
        <f t="shared" si="406"/>
        <v>0.32</v>
      </c>
      <c r="S521">
        <f t="shared" si="407"/>
        <v>21661.32</v>
      </c>
      <c r="T521">
        <f t="shared" si="408"/>
        <v>0</v>
      </c>
      <c r="U521">
        <f t="shared" si="409"/>
        <v>38</v>
      </c>
      <c r="V521">
        <f t="shared" si="410"/>
        <v>0</v>
      </c>
      <c r="W521">
        <f t="shared" si="411"/>
        <v>0</v>
      </c>
      <c r="X521">
        <f t="shared" si="412"/>
        <v>15162.92</v>
      </c>
      <c r="Y521">
        <f t="shared" si="413"/>
        <v>2166.13</v>
      </c>
      <c r="AA521">
        <v>1407491423</v>
      </c>
      <c r="AB521">
        <f t="shared" si="414"/>
        <v>5449.83</v>
      </c>
      <c r="AC521">
        <f>ROUND((ES521),6)</f>
        <v>19.329999999999998</v>
      </c>
      <c r="AD521">
        <f>ROUND((((ET521)-(EU521))+AE521),6)</f>
        <v>15.17</v>
      </c>
      <c r="AE521">
        <f>ROUND((EU521),6)</f>
        <v>0.08</v>
      </c>
      <c r="AF521">
        <f>ROUND((EV521),6)</f>
        <v>5415.33</v>
      </c>
      <c r="AG521">
        <f t="shared" si="416"/>
        <v>0</v>
      </c>
      <c r="AH521">
        <f>(EW521)</f>
        <v>9.5</v>
      </c>
      <c r="AI521">
        <f>(EX521)</f>
        <v>0</v>
      </c>
      <c r="AJ521">
        <f t="shared" si="418"/>
        <v>0</v>
      </c>
      <c r="AK521">
        <v>5449.83</v>
      </c>
      <c r="AL521">
        <v>19.329999999999998</v>
      </c>
      <c r="AM521">
        <v>15.17</v>
      </c>
      <c r="AN521">
        <v>0.08</v>
      </c>
      <c r="AO521">
        <v>5415.33</v>
      </c>
      <c r="AP521">
        <v>0</v>
      </c>
      <c r="AQ521">
        <v>9.5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424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19"/>
        <v>21799.32</v>
      </c>
      <c r="CQ521">
        <f t="shared" si="420"/>
        <v>19.329999999999998</v>
      </c>
      <c r="CR521">
        <f>((((ET521)*BB521-(EU521)*BS521)+AE521*BS521)*AV521)</f>
        <v>15.17</v>
      </c>
      <c r="CS521">
        <f t="shared" si="421"/>
        <v>0.08</v>
      </c>
      <c r="CT521">
        <f t="shared" si="422"/>
        <v>5415.33</v>
      </c>
      <c r="CU521">
        <f t="shared" si="423"/>
        <v>0</v>
      </c>
      <c r="CV521">
        <f t="shared" si="424"/>
        <v>9.5</v>
      </c>
      <c r="CW521">
        <f t="shared" si="425"/>
        <v>0</v>
      </c>
      <c r="CX521">
        <f t="shared" si="426"/>
        <v>0</v>
      </c>
      <c r="CY521">
        <f t="shared" si="427"/>
        <v>15162.923999999999</v>
      </c>
      <c r="CZ521">
        <f t="shared" si="428"/>
        <v>2166.1320000000001</v>
      </c>
      <c r="DC521" t="s">
        <v>3</v>
      </c>
      <c r="DD521" t="s">
        <v>3</v>
      </c>
      <c r="DE521" t="s">
        <v>3</v>
      </c>
      <c r="DF521" t="s">
        <v>3</v>
      </c>
      <c r="DG521" t="s">
        <v>3</v>
      </c>
      <c r="DH521" t="s">
        <v>3</v>
      </c>
      <c r="DI521" t="s">
        <v>3</v>
      </c>
      <c r="DJ521" t="s">
        <v>3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1013</v>
      </c>
      <c r="DV521" t="s">
        <v>405</v>
      </c>
      <c r="DW521" t="s">
        <v>405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1364533919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1310720</v>
      </c>
      <c r="ER521">
        <v>5449.83</v>
      </c>
      <c r="ES521">
        <v>19.329999999999998</v>
      </c>
      <c r="ET521">
        <v>15.17</v>
      </c>
      <c r="EU521">
        <v>0.08</v>
      </c>
      <c r="EV521">
        <v>5415.33</v>
      </c>
      <c r="EW521">
        <v>9.5</v>
      </c>
      <c r="EX521">
        <v>0</v>
      </c>
      <c r="EY521">
        <v>0</v>
      </c>
      <c r="FQ521">
        <v>0</v>
      </c>
      <c r="FR521">
        <f t="shared" si="429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-1327583487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0.35</v>
      </c>
      <c r="GL521">
        <f t="shared" si="430"/>
        <v>0</v>
      </c>
      <c r="GM521">
        <f t="shared" si="431"/>
        <v>39128.720000000001</v>
      </c>
      <c r="GN521">
        <f t="shared" si="432"/>
        <v>0</v>
      </c>
      <c r="GO521">
        <f t="shared" si="433"/>
        <v>0</v>
      </c>
      <c r="GP521">
        <f t="shared" si="434"/>
        <v>39128.720000000001</v>
      </c>
      <c r="GR521">
        <v>0</v>
      </c>
      <c r="GS521">
        <v>3</v>
      </c>
      <c r="GT521">
        <v>0</v>
      </c>
      <c r="GU521" t="s">
        <v>3</v>
      </c>
      <c r="GV521">
        <f t="shared" si="435"/>
        <v>0</v>
      </c>
      <c r="GW521">
        <v>1</v>
      </c>
      <c r="GX521">
        <f t="shared" si="436"/>
        <v>0</v>
      </c>
      <c r="HA521">
        <v>0</v>
      </c>
      <c r="HB521">
        <v>0</v>
      </c>
      <c r="HC521">
        <f t="shared" si="437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ROW(EtalonRes!A291)</f>
        <v>291</v>
      </c>
      <c r="E522" t="s">
        <v>3</v>
      </c>
      <c r="F522" t="s">
        <v>425</v>
      </c>
      <c r="G522" t="s">
        <v>426</v>
      </c>
      <c r="H522" t="s">
        <v>405</v>
      </c>
      <c r="I522">
        <v>2</v>
      </c>
      <c r="J522">
        <v>0</v>
      </c>
      <c r="K522">
        <v>2</v>
      </c>
      <c r="O522">
        <f t="shared" si="403"/>
        <v>42176.53</v>
      </c>
      <c r="P522">
        <f t="shared" si="404"/>
        <v>1862.33</v>
      </c>
      <c r="Q522">
        <f t="shared" si="405"/>
        <v>0</v>
      </c>
      <c r="R522">
        <f t="shared" si="406"/>
        <v>0</v>
      </c>
      <c r="S522">
        <f t="shared" si="407"/>
        <v>40314.199999999997</v>
      </c>
      <c r="T522">
        <f t="shared" si="408"/>
        <v>0</v>
      </c>
      <c r="U522">
        <f t="shared" si="409"/>
        <v>76</v>
      </c>
      <c r="V522">
        <f t="shared" si="410"/>
        <v>0</v>
      </c>
      <c r="W522">
        <f t="shared" si="411"/>
        <v>0</v>
      </c>
      <c r="X522">
        <f t="shared" si="412"/>
        <v>28219.94</v>
      </c>
      <c r="Y522">
        <f t="shared" si="413"/>
        <v>4031.42</v>
      </c>
      <c r="AA522">
        <v>-1</v>
      </c>
      <c r="AB522">
        <f t="shared" si="414"/>
        <v>21088.266667</v>
      </c>
      <c r="AC522">
        <f>ROUND((((ES522/12)*8)),6)</f>
        <v>931.16666699999996</v>
      </c>
      <c r="AD522">
        <f>ROUND((((ET522)-(EU522))+AE522),6)</f>
        <v>0</v>
      </c>
      <c r="AE522">
        <f>ROUND((EU522),6)</f>
        <v>0</v>
      </c>
      <c r="AF522">
        <f>ROUND((((EV522/12)*8)),6)</f>
        <v>20157.099999999999</v>
      </c>
      <c r="AG522">
        <f t="shared" si="416"/>
        <v>0</v>
      </c>
      <c r="AH522">
        <f>(((EW522/12)*8))</f>
        <v>38</v>
      </c>
      <c r="AI522">
        <f>(EX522)</f>
        <v>0</v>
      </c>
      <c r="AJ522">
        <f t="shared" si="418"/>
        <v>0</v>
      </c>
      <c r="AK522">
        <v>31632.400000000001</v>
      </c>
      <c r="AL522">
        <v>1396.75</v>
      </c>
      <c r="AM522">
        <v>0</v>
      </c>
      <c r="AN522">
        <v>0</v>
      </c>
      <c r="AO522">
        <v>30235.65</v>
      </c>
      <c r="AP522">
        <v>0</v>
      </c>
      <c r="AQ522">
        <v>57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427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19"/>
        <v>42176.53</v>
      </c>
      <c r="CQ522">
        <f t="shared" si="420"/>
        <v>931.16666699999996</v>
      </c>
      <c r="CR522">
        <f>((((ET522)*BB522-(EU522)*BS522)+AE522*BS522)*AV522)</f>
        <v>0</v>
      </c>
      <c r="CS522">
        <f t="shared" si="421"/>
        <v>0</v>
      </c>
      <c r="CT522">
        <f t="shared" si="422"/>
        <v>20157.099999999999</v>
      </c>
      <c r="CU522">
        <f t="shared" si="423"/>
        <v>0</v>
      </c>
      <c r="CV522">
        <f t="shared" si="424"/>
        <v>38</v>
      </c>
      <c r="CW522">
        <f t="shared" si="425"/>
        <v>0</v>
      </c>
      <c r="CX522">
        <f t="shared" si="426"/>
        <v>0</v>
      </c>
      <c r="CY522">
        <f t="shared" si="427"/>
        <v>28219.94</v>
      </c>
      <c r="CZ522">
        <f t="shared" si="428"/>
        <v>4031.42</v>
      </c>
      <c r="DC522" t="s">
        <v>3</v>
      </c>
      <c r="DD522" t="s">
        <v>325</v>
      </c>
      <c r="DE522" t="s">
        <v>3</v>
      </c>
      <c r="DF522" t="s">
        <v>3</v>
      </c>
      <c r="DG522" t="s">
        <v>325</v>
      </c>
      <c r="DH522" t="s">
        <v>3</v>
      </c>
      <c r="DI522" t="s">
        <v>325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1013</v>
      </c>
      <c r="DV522" t="s">
        <v>405</v>
      </c>
      <c r="DW522" t="s">
        <v>405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1364533919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1024</v>
      </c>
      <c r="ER522">
        <v>31632.400000000001</v>
      </c>
      <c r="ES522">
        <v>1396.75</v>
      </c>
      <c r="ET522">
        <v>0</v>
      </c>
      <c r="EU522">
        <v>0</v>
      </c>
      <c r="EV522">
        <v>30235.65</v>
      </c>
      <c r="EW522">
        <v>57</v>
      </c>
      <c r="EX522">
        <v>0</v>
      </c>
      <c r="EY522">
        <v>0</v>
      </c>
      <c r="FQ522">
        <v>0</v>
      </c>
      <c r="FR522">
        <f t="shared" si="429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-333072906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430"/>
        <v>0</v>
      </c>
      <c r="GM522">
        <f t="shared" si="431"/>
        <v>74427.89</v>
      </c>
      <c r="GN522">
        <f t="shared" si="432"/>
        <v>0</v>
      </c>
      <c r="GO522">
        <f t="shared" si="433"/>
        <v>0</v>
      </c>
      <c r="GP522">
        <f t="shared" si="434"/>
        <v>74427.89</v>
      </c>
      <c r="GR522">
        <v>0</v>
      </c>
      <c r="GS522">
        <v>3</v>
      </c>
      <c r="GT522">
        <v>0</v>
      </c>
      <c r="GU522" t="s">
        <v>3</v>
      </c>
      <c r="GV522">
        <f t="shared" si="435"/>
        <v>0</v>
      </c>
      <c r="GW522">
        <v>1</v>
      </c>
      <c r="GX522">
        <f t="shared" si="436"/>
        <v>0</v>
      </c>
      <c r="HA522">
        <v>0</v>
      </c>
      <c r="HB522">
        <v>0</v>
      </c>
      <c r="HC522">
        <f t="shared" si="437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ROW(EtalonRes!A293)</f>
        <v>293</v>
      </c>
      <c r="E523" t="s">
        <v>48</v>
      </c>
      <c r="F523" t="s">
        <v>407</v>
      </c>
      <c r="G523" t="s">
        <v>428</v>
      </c>
      <c r="H523" t="s">
        <v>405</v>
      </c>
      <c r="I523">
        <v>2</v>
      </c>
      <c r="J523">
        <v>0</v>
      </c>
      <c r="K523">
        <v>2</v>
      </c>
      <c r="O523">
        <f t="shared" si="403"/>
        <v>3420.64</v>
      </c>
      <c r="P523">
        <f t="shared" si="404"/>
        <v>0.44</v>
      </c>
      <c r="Q523">
        <f t="shared" si="405"/>
        <v>0</v>
      </c>
      <c r="R523">
        <f t="shared" si="406"/>
        <v>0</v>
      </c>
      <c r="S523">
        <f t="shared" si="407"/>
        <v>3420.2</v>
      </c>
      <c r="T523">
        <f t="shared" si="408"/>
        <v>0</v>
      </c>
      <c r="U523">
        <f t="shared" si="409"/>
        <v>6</v>
      </c>
      <c r="V523">
        <f t="shared" si="410"/>
        <v>0</v>
      </c>
      <c r="W523">
        <f t="shared" si="411"/>
        <v>0</v>
      </c>
      <c r="X523">
        <f t="shared" si="412"/>
        <v>2394.14</v>
      </c>
      <c r="Y523">
        <f t="shared" si="413"/>
        <v>342.02</v>
      </c>
      <c r="AA523">
        <v>1407491423</v>
      </c>
      <c r="AB523">
        <f t="shared" si="414"/>
        <v>1710.32</v>
      </c>
      <c r="AC523">
        <f>ROUND(((ES523*2)),6)</f>
        <v>0.22</v>
      </c>
      <c r="AD523">
        <f>ROUND(((((ET523*2))-((EU523*2)))+AE523),6)</f>
        <v>0</v>
      </c>
      <c r="AE523">
        <f>ROUND(((EU523*2)),6)</f>
        <v>0</v>
      </c>
      <c r="AF523">
        <f>ROUND(((EV523*2)),6)</f>
        <v>1710.1</v>
      </c>
      <c r="AG523">
        <f t="shared" si="416"/>
        <v>0</v>
      </c>
      <c r="AH523">
        <f>((EW523*2))</f>
        <v>3</v>
      </c>
      <c r="AI523">
        <f>((EX523*2))</f>
        <v>0</v>
      </c>
      <c r="AJ523">
        <f t="shared" si="418"/>
        <v>0</v>
      </c>
      <c r="AK523">
        <v>855.16</v>
      </c>
      <c r="AL523">
        <v>0.11</v>
      </c>
      <c r="AM523">
        <v>0</v>
      </c>
      <c r="AN523">
        <v>0</v>
      </c>
      <c r="AO523">
        <v>855.05</v>
      </c>
      <c r="AP523">
        <v>0</v>
      </c>
      <c r="AQ523">
        <v>1.5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409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19"/>
        <v>3420.64</v>
      </c>
      <c r="CQ523">
        <f t="shared" si="420"/>
        <v>0.22</v>
      </c>
      <c r="CR523">
        <f>(((((ET523*2))*BB523-((EU523*2))*BS523)+AE523*BS523)*AV523)</f>
        <v>0</v>
      </c>
      <c r="CS523">
        <f t="shared" si="421"/>
        <v>0</v>
      </c>
      <c r="CT523">
        <f t="shared" si="422"/>
        <v>1710.1</v>
      </c>
      <c r="CU523">
        <f t="shared" si="423"/>
        <v>0</v>
      </c>
      <c r="CV523">
        <f t="shared" si="424"/>
        <v>3</v>
      </c>
      <c r="CW523">
        <f t="shared" si="425"/>
        <v>0</v>
      </c>
      <c r="CX523">
        <f t="shared" si="426"/>
        <v>0</v>
      </c>
      <c r="CY523">
        <f t="shared" si="427"/>
        <v>2394.14</v>
      </c>
      <c r="CZ523">
        <f t="shared" si="428"/>
        <v>342.02</v>
      </c>
      <c r="DC523" t="s">
        <v>3</v>
      </c>
      <c r="DD523" t="s">
        <v>52</v>
      </c>
      <c r="DE523" t="s">
        <v>52</v>
      </c>
      <c r="DF523" t="s">
        <v>52</v>
      </c>
      <c r="DG523" t="s">
        <v>52</v>
      </c>
      <c r="DH523" t="s">
        <v>3</v>
      </c>
      <c r="DI523" t="s">
        <v>52</v>
      </c>
      <c r="DJ523" t="s">
        <v>52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1013</v>
      </c>
      <c r="DV523" t="s">
        <v>405</v>
      </c>
      <c r="DW523" t="s">
        <v>405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1364533919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0</v>
      </c>
      <c r="ER523">
        <v>855.16</v>
      </c>
      <c r="ES523">
        <v>0.11</v>
      </c>
      <c r="ET523">
        <v>0</v>
      </c>
      <c r="EU523">
        <v>0</v>
      </c>
      <c r="EV523">
        <v>855.05</v>
      </c>
      <c r="EW523">
        <v>1.5</v>
      </c>
      <c r="EX523">
        <v>0</v>
      </c>
      <c r="EY523">
        <v>0</v>
      </c>
      <c r="FQ523">
        <v>0</v>
      </c>
      <c r="FR523">
        <f t="shared" si="429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978856587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430"/>
        <v>0</v>
      </c>
      <c r="GM523">
        <f t="shared" si="431"/>
        <v>6156.8</v>
      </c>
      <c r="GN523">
        <f t="shared" si="432"/>
        <v>0</v>
      </c>
      <c r="GO523">
        <f t="shared" si="433"/>
        <v>0</v>
      </c>
      <c r="GP523">
        <f t="shared" si="434"/>
        <v>6156.8</v>
      </c>
      <c r="GR523">
        <v>0</v>
      </c>
      <c r="GS523">
        <v>3</v>
      </c>
      <c r="GT523">
        <v>0</v>
      </c>
      <c r="GU523" t="s">
        <v>3</v>
      </c>
      <c r="GV523">
        <f t="shared" si="435"/>
        <v>0</v>
      </c>
      <c r="GW523">
        <v>1</v>
      </c>
      <c r="GX523">
        <f t="shared" si="436"/>
        <v>0</v>
      </c>
      <c r="HA523">
        <v>0</v>
      </c>
      <c r="HB523">
        <v>0</v>
      </c>
      <c r="HC523">
        <f t="shared" si="437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ROW(EtalonRes!A295)</f>
        <v>295</v>
      </c>
      <c r="E524" t="s">
        <v>53</v>
      </c>
      <c r="F524" t="s">
        <v>410</v>
      </c>
      <c r="G524" t="s">
        <v>429</v>
      </c>
      <c r="H524" t="s">
        <v>405</v>
      </c>
      <c r="I524">
        <v>2</v>
      </c>
      <c r="J524">
        <v>0</v>
      </c>
      <c r="K524">
        <v>2</v>
      </c>
      <c r="O524">
        <f t="shared" si="403"/>
        <v>6339.2</v>
      </c>
      <c r="P524">
        <f t="shared" si="404"/>
        <v>0.4</v>
      </c>
      <c r="Q524">
        <f t="shared" si="405"/>
        <v>0</v>
      </c>
      <c r="R524">
        <f t="shared" si="406"/>
        <v>0</v>
      </c>
      <c r="S524">
        <f t="shared" si="407"/>
        <v>6338.8</v>
      </c>
      <c r="T524">
        <f t="shared" si="408"/>
        <v>0</v>
      </c>
      <c r="U524">
        <f t="shared" si="409"/>
        <v>11.12</v>
      </c>
      <c r="V524">
        <f t="shared" si="410"/>
        <v>0</v>
      </c>
      <c r="W524">
        <f t="shared" si="411"/>
        <v>0</v>
      </c>
      <c r="X524">
        <f t="shared" si="412"/>
        <v>4437.16</v>
      </c>
      <c r="Y524">
        <f t="shared" si="413"/>
        <v>633.88</v>
      </c>
      <c r="AA524">
        <v>1407491423</v>
      </c>
      <c r="AB524">
        <f t="shared" si="414"/>
        <v>3169.6</v>
      </c>
      <c r="AC524">
        <f>ROUND(((ES524*2)),6)</f>
        <v>0.2</v>
      </c>
      <c r="AD524">
        <f>ROUND(((((ET524*2))-((EU524*2)))+AE524),6)</f>
        <v>0</v>
      </c>
      <c r="AE524">
        <f>ROUND(((EU524*2)),6)</f>
        <v>0</v>
      </c>
      <c r="AF524">
        <f>ROUND(((EV524*2)),6)</f>
        <v>3169.4</v>
      </c>
      <c r="AG524">
        <f t="shared" si="416"/>
        <v>0</v>
      </c>
      <c r="AH524">
        <f>((EW524*2))</f>
        <v>5.56</v>
      </c>
      <c r="AI524">
        <f>((EX524*2))</f>
        <v>0</v>
      </c>
      <c r="AJ524">
        <f t="shared" si="418"/>
        <v>0</v>
      </c>
      <c r="AK524">
        <v>1584.8</v>
      </c>
      <c r="AL524">
        <v>0.1</v>
      </c>
      <c r="AM524">
        <v>0</v>
      </c>
      <c r="AN524">
        <v>0</v>
      </c>
      <c r="AO524">
        <v>1584.7</v>
      </c>
      <c r="AP524">
        <v>0</v>
      </c>
      <c r="AQ524">
        <v>2.78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412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19"/>
        <v>6339.2</v>
      </c>
      <c r="CQ524">
        <f t="shared" si="420"/>
        <v>0.2</v>
      </c>
      <c r="CR524">
        <f>(((((ET524*2))*BB524-((EU524*2))*BS524)+AE524*BS524)*AV524)</f>
        <v>0</v>
      </c>
      <c r="CS524">
        <f t="shared" si="421"/>
        <v>0</v>
      </c>
      <c r="CT524">
        <f t="shared" si="422"/>
        <v>3169.4</v>
      </c>
      <c r="CU524">
        <f t="shared" si="423"/>
        <v>0</v>
      </c>
      <c r="CV524">
        <f t="shared" si="424"/>
        <v>5.56</v>
      </c>
      <c r="CW524">
        <f t="shared" si="425"/>
        <v>0</v>
      </c>
      <c r="CX524">
        <f t="shared" si="426"/>
        <v>0</v>
      </c>
      <c r="CY524">
        <f t="shared" si="427"/>
        <v>4437.16</v>
      </c>
      <c r="CZ524">
        <f t="shared" si="428"/>
        <v>633.88</v>
      </c>
      <c r="DC524" t="s">
        <v>3</v>
      </c>
      <c r="DD524" t="s">
        <v>52</v>
      </c>
      <c r="DE524" t="s">
        <v>52</v>
      </c>
      <c r="DF524" t="s">
        <v>52</v>
      </c>
      <c r="DG524" t="s">
        <v>52</v>
      </c>
      <c r="DH524" t="s">
        <v>3</v>
      </c>
      <c r="DI524" t="s">
        <v>52</v>
      </c>
      <c r="DJ524" t="s">
        <v>52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1013</v>
      </c>
      <c r="DV524" t="s">
        <v>405</v>
      </c>
      <c r="DW524" t="s">
        <v>405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1364533919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0</v>
      </c>
      <c r="ER524">
        <v>1584.8</v>
      </c>
      <c r="ES524">
        <v>0.1</v>
      </c>
      <c r="ET524">
        <v>0</v>
      </c>
      <c r="EU524">
        <v>0</v>
      </c>
      <c r="EV524">
        <v>1584.7</v>
      </c>
      <c r="EW524">
        <v>2.78</v>
      </c>
      <c r="EX524">
        <v>0</v>
      </c>
      <c r="EY524">
        <v>0</v>
      </c>
      <c r="FQ524">
        <v>0</v>
      </c>
      <c r="FR524">
        <f t="shared" si="429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-316415623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30"/>
        <v>0</v>
      </c>
      <c r="GM524">
        <f t="shared" si="431"/>
        <v>11410.24</v>
      </c>
      <c r="GN524">
        <f t="shared" si="432"/>
        <v>0</v>
      </c>
      <c r="GO524">
        <f t="shared" si="433"/>
        <v>0</v>
      </c>
      <c r="GP524">
        <f t="shared" si="434"/>
        <v>11410.24</v>
      </c>
      <c r="GR524">
        <v>0</v>
      </c>
      <c r="GS524">
        <v>3</v>
      </c>
      <c r="GT524">
        <v>0</v>
      </c>
      <c r="GU524" t="s">
        <v>3</v>
      </c>
      <c r="GV524">
        <f t="shared" si="435"/>
        <v>0</v>
      </c>
      <c r="GW524">
        <v>1</v>
      </c>
      <c r="GX524">
        <f t="shared" si="436"/>
        <v>0</v>
      </c>
      <c r="HA524">
        <v>0</v>
      </c>
      <c r="HB524">
        <v>0</v>
      </c>
      <c r="HC524">
        <f t="shared" si="437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ROW(EtalonRes!A298)</f>
        <v>298</v>
      </c>
      <c r="E525" t="s">
        <v>57</v>
      </c>
      <c r="F525" t="s">
        <v>413</v>
      </c>
      <c r="G525" t="s">
        <v>430</v>
      </c>
      <c r="H525" t="s">
        <v>405</v>
      </c>
      <c r="I525">
        <v>2</v>
      </c>
      <c r="J525">
        <v>0</v>
      </c>
      <c r="K525">
        <v>2</v>
      </c>
      <c r="O525">
        <f t="shared" si="403"/>
        <v>9110.0400000000009</v>
      </c>
      <c r="P525">
        <f t="shared" si="404"/>
        <v>12.28</v>
      </c>
      <c r="Q525">
        <f t="shared" si="405"/>
        <v>0</v>
      </c>
      <c r="R525">
        <f t="shared" si="406"/>
        <v>0</v>
      </c>
      <c r="S525">
        <f t="shared" si="407"/>
        <v>9097.76</v>
      </c>
      <c r="T525">
        <f t="shared" si="408"/>
        <v>0</v>
      </c>
      <c r="U525">
        <f t="shared" si="409"/>
        <v>15.96</v>
      </c>
      <c r="V525">
        <f t="shared" si="410"/>
        <v>0</v>
      </c>
      <c r="W525">
        <f t="shared" si="411"/>
        <v>0</v>
      </c>
      <c r="X525">
        <f t="shared" si="412"/>
        <v>6368.43</v>
      </c>
      <c r="Y525">
        <f t="shared" si="413"/>
        <v>909.78</v>
      </c>
      <c r="AA525">
        <v>1407491423</v>
      </c>
      <c r="AB525">
        <f t="shared" si="414"/>
        <v>4555.0200000000004</v>
      </c>
      <c r="AC525">
        <f>ROUND((ES525),6)</f>
        <v>6.14</v>
      </c>
      <c r="AD525">
        <f>ROUND((((ET525)-(EU525))+AE525),6)</f>
        <v>0</v>
      </c>
      <c r="AE525">
        <f>ROUND((EU525),6)</f>
        <v>0</v>
      </c>
      <c r="AF525">
        <f>ROUND((EV525),6)</f>
        <v>4548.88</v>
      </c>
      <c r="AG525">
        <f t="shared" si="416"/>
        <v>0</v>
      </c>
      <c r="AH525">
        <f>(EW525)</f>
        <v>7.98</v>
      </c>
      <c r="AI525">
        <f>(EX525)</f>
        <v>0</v>
      </c>
      <c r="AJ525">
        <f t="shared" si="418"/>
        <v>0</v>
      </c>
      <c r="AK525">
        <v>4555.0200000000004</v>
      </c>
      <c r="AL525">
        <v>6.14</v>
      </c>
      <c r="AM525">
        <v>0</v>
      </c>
      <c r="AN525">
        <v>0</v>
      </c>
      <c r="AO525">
        <v>4548.88</v>
      </c>
      <c r="AP525">
        <v>0</v>
      </c>
      <c r="AQ525">
        <v>7.98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415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19"/>
        <v>9110.0400000000009</v>
      </c>
      <c r="CQ525">
        <f t="shared" si="420"/>
        <v>6.14</v>
      </c>
      <c r="CR525">
        <f>((((ET525)*BB525-(EU525)*BS525)+AE525*BS525)*AV525)</f>
        <v>0</v>
      </c>
      <c r="CS525">
        <f t="shared" si="421"/>
        <v>0</v>
      </c>
      <c r="CT525">
        <f t="shared" si="422"/>
        <v>4548.88</v>
      </c>
      <c r="CU525">
        <f t="shared" si="423"/>
        <v>0</v>
      </c>
      <c r="CV525">
        <f t="shared" si="424"/>
        <v>7.98</v>
      </c>
      <c r="CW525">
        <f t="shared" si="425"/>
        <v>0</v>
      </c>
      <c r="CX525">
        <f t="shared" si="426"/>
        <v>0</v>
      </c>
      <c r="CY525">
        <f t="shared" si="427"/>
        <v>6368.4320000000007</v>
      </c>
      <c r="CZ525">
        <f t="shared" si="428"/>
        <v>909.77600000000007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1013</v>
      </c>
      <c r="DV525" t="s">
        <v>405</v>
      </c>
      <c r="DW525" t="s">
        <v>405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1364533919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1310720</v>
      </c>
      <c r="ER525">
        <v>4555.0200000000004</v>
      </c>
      <c r="ES525">
        <v>6.14</v>
      </c>
      <c r="ET525">
        <v>0</v>
      </c>
      <c r="EU525">
        <v>0</v>
      </c>
      <c r="EV525">
        <v>4548.88</v>
      </c>
      <c r="EW525">
        <v>7.98</v>
      </c>
      <c r="EX525">
        <v>0</v>
      </c>
      <c r="EY525">
        <v>0</v>
      </c>
      <c r="FQ525">
        <v>0</v>
      </c>
      <c r="FR525">
        <f t="shared" si="429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624330118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30"/>
        <v>0</v>
      </c>
      <c r="GM525">
        <f t="shared" si="431"/>
        <v>16388.25</v>
      </c>
      <c r="GN525">
        <f t="shared" si="432"/>
        <v>0</v>
      </c>
      <c r="GO525">
        <f t="shared" si="433"/>
        <v>0</v>
      </c>
      <c r="GP525">
        <f t="shared" si="434"/>
        <v>16388.25</v>
      </c>
      <c r="GR525">
        <v>0</v>
      </c>
      <c r="GS525">
        <v>3</v>
      </c>
      <c r="GT525">
        <v>0</v>
      </c>
      <c r="GU525" t="s">
        <v>3</v>
      </c>
      <c r="GV525">
        <f t="shared" si="435"/>
        <v>0</v>
      </c>
      <c r="GW525">
        <v>1</v>
      </c>
      <c r="GX525">
        <f t="shared" si="436"/>
        <v>0</v>
      </c>
      <c r="HA525">
        <v>0</v>
      </c>
      <c r="HB525">
        <v>0</v>
      </c>
      <c r="HC525">
        <f t="shared" si="437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7" spans="1:245" x14ac:dyDescent="0.2">
      <c r="A527" s="2">
        <v>51</v>
      </c>
      <c r="B527" s="2">
        <f>B511</f>
        <v>1</v>
      </c>
      <c r="C527" s="2">
        <f>A511</f>
        <v>5</v>
      </c>
      <c r="D527" s="2">
        <f>ROW(A511)</f>
        <v>511</v>
      </c>
      <c r="E527" s="2"/>
      <c r="F527" s="2" t="str">
        <f>IF(F511&lt;&gt;"",F511,"")</f>
        <v>Новый подраздел</v>
      </c>
      <c r="G527" s="2" t="str">
        <f>IF(G511&lt;&gt;"",G511,"")</f>
        <v>Общеобменная вентиляция</v>
      </c>
      <c r="H527" s="2">
        <v>0</v>
      </c>
      <c r="I527" s="2"/>
      <c r="J527" s="2"/>
      <c r="K527" s="2"/>
      <c r="L527" s="2"/>
      <c r="M527" s="2"/>
      <c r="N527" s="2"/>
      <c r="O527" s="2">
        <f t="shared" ref="O527:T527" si="438">ROUND(AB527,2)</f>
        <v>76775.199999999997</v>
      </c>
      <c r="P527" s="2">
        <f t="shared" si="438"/>
        <v>216.48</v>
      </c>
      <c r="Q527" s="2">
        <f t="shared" si="438"/>
        <v>105.64</v>
      </c>
      <c r="R527" s="2">
        <f t="shared" si="438"/>
        <v>0.64</v>
      </c>
      <c r="S527" s="2">
        <f t="shared" si="438"/>
        <v>76453.08</v>
      </c>
      <c r="T527" s="2">
        <f t="shared" si="438"/>
        <v>0</v>
      </c>
      <c r="U527" s="2">
        <f>AH527</f>
        <v>134.12</v>
      </c>
      <c r="V527" s="2">
        <f>AI527</f>
        <v>0</v>
      </c>
      <c r="W527" s="2">
        <f>ROUND(AJ527,2)</f>
        <v>0</v>
      </c>
      <c r="X527" s="2">
        <f>ROUND(AK527,2)</f>
        <v>53517.15</v>
      </c>
      <c r="Y527" s="2">
        <f>ROUND(AL527,2)</f>
        <v>7645.31</v>
      </c>
      <c r="Z527" s="2"/>
      <c r="AA527" s="2"/>
      <c r="AB527" s="2">
        <f>ROUND(SUMIF(AA515:AA525,"=1407491423",O515:O525),2)</f>
        <v>76775.199999999997</v>
      </c>
      <c r="AC527" s="2">
        <f>ROUND(SUMIF(AA515:AA525,"=1407491423",P515:P525),2)</f>
        <v>216.48</v>
      </c>
      <c r="AD527" s="2">
        <f>ROUND(SUMIF(AA515:AA525,"=1407491423",Q515:Q525),2)</f>
        <v>105.64</v>
      </c>
      <c r="AE527" s="2">
        <f>ROUND(SUMIF(AA515:AA525,"=1407491423",R515:R525),2)</f>
        <v>0.64</v>
      </c>
      <c r="AF527" s="2">
        <f>ROUND(SUMIF(AA515:AA525,"=1407491423",S515:S525),2)</f>
        <v>76453.08</v>
      </c>
      <c r="AG527" s="2">
        <f>ROUND(SUMIF(AA515:AA525,"=1407491423",T515:T525),2)</f>
        <v>0</v>
      </c>
      <c r="AH527" s="2">
        <f>SUMIF(AA515:AA525,"=1407491423",U515:U525)</f>
        <v>134.12</v>
      </c>
      <c r="AI527" s="2">
        <f>SUMIF(AA515:AA525,"=1407491423",V515:V525)</f>
        <v>0</v>
      </c>
      <c r="AJ527" s="2">
        <f>ROUND(SUMIF(AA515:AA525,"=1407491423",W515:W525),2)</f>
        <v>0</v>
      </c>
      <c r="AK527" s="2">
        <f>ROUND(SUMIF(AA515:AA525,"=1407491423",X515:X525),2)</f>
        <v>53517.15</v>
      </c>
      <c r="AL527" s="2">
        <f>ROUND(SUMIF(AA515:AA525,"=1407491423",Y515:Y525),2)</f>
        <v>7645.31</v>
      </c>
      <c r="AM527" s="2"/>
      <c r="AN527" s="2"/>
      <c r="AO527" s="2">
        <f t="shared" ref="AO527:BD527" si="439">ROUND(BX527,2)</f>
        <v>0</v>
      </c>
      <c r="AP527" s="2">
        <f t="shared" si="439"/>
        <v>0</v>
      </c>
      <c r="AQ527" s="2">
        <f t="shared" si="439"/>
        <v>0</v>
      </c>
      <c r="AR527" s="2">
        <f t="shared" si="439"/>
        <v>137938.35</v>
      </c>
      <c r="AS527" s="2">
        <f t="shared" si="439"/>
        <v>0</v>
      </c>
      <c r="AT527" s="2">
        <f t="shared" si="439"/>
        <v>0</v>
      </c>
      <c r="AU527" s="2">
        <f t="shared" si="439"/>
        <v>137938.35</v>
      </c>
      <c r="AV527" s="2">
        <f t="shared" si="439"/>
        <v>216.48</v>
      </c>
      <c r="AW527" s="2">
        <f t="shared" si="439"/>
        <v>216.48</v>
      </c>
      <c r="AX527" s="2">
        <f t="shared" si="439"/>
        <v>0</v>
      </c>
      <c r="AY527" s="2">
        <f t="shared" si="439"/>
        <v>216.48</v>
      </c>
      <c r="AZ527" s="2">
        <f t="shared" si="439"/>
        <v>0</v>
      </c>
      <c r="BA527" s="2">
        <f t="shared" si="439"/>
        <v>0</v>
      </c>
      <c r="BB527" s="2">
        <f t="shared" si="439"/>
        <v>0</v>
      </c>
      <c r="BC527" s="2">
        <f t="shared" si="439"/>
        <v>0</v>
      </c>
      <c r="BD527" s="2">
        <f t="shared" si="439"/>
        <v>0</v>
      </c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>
        <f>ROUND(SUMIF(AA515:AA525,"=1407491423",FQ515:FQ525),2)</f>
        <v>0</v>
      </c>
      <c r="BY527" s="2">
        <f>ROUND(SUMIF(AA515:AA525,"=1407491423",FR515:FR525),2)</f>
        <v>0</v>
      </c>
      <c r="BZ527" s="2">
        <f>ROUND(SUMIF(AA515:AA525,"=1407491423",GL515:GL525),2)</f>
        <v>0</v>
      </c>
      <c r="CA527" s="2">
        <f>ROUND(SUMIF(AA515:AA525,"=1407491423",GM515:GM525),2)</f>
        <v>137938.35</v>
      </c>
      <c r="CB527" s="2">
        <f>ROUND(SUMIF(AA515:AA525,"=1407491423",GN515:GN525),2)</f>
        <v>0</v>
      </c>
      <c r="CC527" s="2">
        <f>ROUND(SUMIF(AA515:AA525,"=1407491423",GO515:GO525),2)</f>
        <v>0</v>
      </c>
      <c r="CD527" s="2">
        <f>ROUND(SUMIF(AA515:AA525,"=1407491423",GP515:GP525),2)</f>
        <v>137938.35</v>
      </c>
      <c r="CE527" s="2">
        <f>AC527-BX527</f>
        <v>216.48</v>
      </c>
      <c r="CF527" s="2">
        <f>AC527-BY527</f>
        <v>216.48</v>
      </c>
      <c r="CG527" s="2">
        <f>BX527-BZ527</f>
        <v>0</v>
      </c>
      <c r="CH527" s="2">
        <f>AC527-BX527-BY527+BZ527</f>
        <v>216.48</v>
      </c>
      <c r="CI527" s="2">
        <f>BY527-BZ527</f>
        <v>0</v>
      </c>
      <c r="CJ527" s="2">
        <f>ROUND(SUMIF(AA515:AA525,"=1407491423",GX515:GX525),2)</f>
        <v>0</v>
      </c>
      <c r="CK527" s="2">
        <f>ROUND(SUMIF(AA515:AA525,"=1407491423",GY515:GY525),2)</f>
        <v>0</v>
      </c>
      <c r="CL527" s="2">
        <f>ROUND(SUMIF(AA515:AA525,"=1407491423",GZ515:GZ525),2)</f>
        <v>0</v>
      </c>
      <c r="CM527" s="2">
        <f>ROUND(SUMIF(AA515:AA525,"=1407491423",HD515:HD525),2)</f>
        <v>0</v>
      </c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3"/>
      <c r="DH527" s="3"/>
      <c r="DI527" s="3"/>
      <c r="DJ527" s="3"/>
      <c r="DK527" s="3"/>
      <c r="DL527" s="3"/>
      <c r="DM527" s="3"/>
      <c r="DN527" s="3"/>
      <c r="DO527" s="3"/>
      <c r="DP527" s="3"/>
      <c r="DQ527" s="3"/>
      <c r="DR527" s="3"/>
      <c r="DS527" s="3"/>
      <c r="DT527" s="3"/>
      <c r="DU527" s="3"/>
      <c r="DV527" s="3"/>
      <c r="DW527" s="3"/>
      <c r="DX527" s="3"/>
      <c r="DY527" s="3"/>
      <c r="DZ527" s="3"/>
      <c r="EA527" s="3"/>
      <c r="EB527" s="3"/>
      <c r="EC527" s="3"/>
      <c r="ED527" s="3"/>
      <c r="EE527" s="3"/>
      <c r="EF527" s="3"/>
      <c r="EG527" s="3"/>
      <c r="EH527" s="3"/>
      <c r="EI527" s="3"/>
      <c r="EJ527" s="3"/>
      <c r="EK527" s="3"/>
      <c r="EL527" s="3"/>
      <c r="EM527" s="3"/>
      <c r="EN527" s="3"/>
      <c r="EO527" s="3"/>
      <c r="EP527" s="3"/>
      <c r="EQ527" s="3"/>
      <c r="ER527" s="3"/>
      <c r="ES527" s="3"/>
      <c r="ET527" s="3"/>
      <c r="EU527" s="3"/>
      <c r="EV527" s="3"/>
      <c r="EW527" s="3"/>
      <c r="EX527" s="3"/>
      <c r="EY527" s="3"/>
      <c r="EZ527" s="3"/>
      <c r="FA527" s="3"/>
      <c r="FB527" s="3"/>
      <c r="FC527" s="3"/>
      <c r="FD527" s="3"/>
      <c r="FE527" s="3"/>
      <c r="FF527" s="3"/>
      <c r="FG527" s="3"/>
      <c r="FH527" s="3"/>
      <c r="FI527" s="3"/>
      <c r="FJ527" s="3"/>
      <c r="FK527" s="3"/>
      <c r="FL527" s="3"/>
      <c r="FM527" s="3"/>
      <c r="FN527" s="3"/>
      <c r="FO527" s="3"/>
      <c r="FP527" s="3"/>
      <c r="FQ527" s="3"/>
      <c r="FR527" s="3"/>
      <c r="FS527" s="3"/>
      <c r="FT527" s="3"/>
      <c r="FU527" s="3"/>
      <c r="FV527" s="3"/>
      <c r="FW527" s="3"/>
      <c r="FX527" s="3"/>
      <c r="FY527" s="3"/>
      <c r="FZ527" s="3"/>
      <c r="GA527" s="3"/>
      <c r="GB527" s="3"/>
      <c r="GC527" s="3"/>
      <c r="GD527" s="3"/>
      <c r="GE527" s="3"/>
      <c r="GF527" s="3"/>
      <c r="GG527" s="3"/>
      <c r="GH527" s="3"/>
      <c r="GI527" s="3"/>
      <c r="GJ527" s="3"/>
      <c r="GK527" s="3"/>
      <c r="GL527" s="3"/>
      <c r="GM527" s="3"/>
      <c r="GN527" s="3"/>
      <c r="GO527" s="3"/>
      <c r="GP527" s="3"/>
      <c r="GQ527" s="3"/>
      <c r="GR527" s="3"/>
      <c r="GS527" s="3"/>
      <c r="GT527" s="3"/>
      <c r="GU527" s="3"/>
      <c r="GV527" s="3"/>
      <c r="GW527" s="3"/>
      <c r="GX527" s="3">
        <v>0</v>
      </c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201</v>
      </c>
      <c r="F529" s="4">
        <f>ROUND(Source!O527,O529)</f>
        <v>76775.199999999997</v>
      </c>
      <c r="G529" s="4" t="s">
        <v>74</v>
      </c>
      <c r="H529" s="4" t="s">
        <v>75</v>
      </c>
      <c r="I529" s="4"/>
      <c r="J529" s="4"/>
      <c r="K529" s="4">
        <v>201</v>
      </c>
      <c r="L529" s="4">
        <v>1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76775.199999999997</v>
      </c>
      <c r="X529" s="4">
        <v>1</v>
      </c>
      <c r="Y529" s="4">
        <v>76775.199999999997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202</v>
      </c>
      <c r="F530" s="4">
        <f>ROUND(Source!P527,O530)</f>
        <v>216.48</v>
      </c>
      <c r="G530" s="4" t="s">
        <v>76</v>
      </c>
      <c r="H530" s="4" t="s">
        <v>77</v>
      </c>
      <c r="I530" s="4"/>
      <c r="J530" s="4"/>
      <c r="K530" s="4">
        <v>202</v>
      </c>
      <c r="L530" s="4">
        <v>2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216.48</v>
      </c>
      <c r="X530" s="4">
        <v>1</v>
      </c>
      <c r="Y530" s="4">
        <v>216.48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222</v>
      </c>
      <c r="F531" s="4">
        <f>ROUND(Source!AO527,O531)</f>
        <v>0</v>
      </c>
      <c r="G531" s="4" t="s">
        <v>78</v>
      </c>
      <c r="H531" s="4" t="s">
        <v>79</v>
      </c>
      <c r="I531" s="4"/>
      <c r="J531" s="4"/>
      <c r="K531" s="4">
        <v>222</v>
      </c>
      <c r="L531" s="4">
        <v>3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225</v>
      </c>
      <c r="F532" s="4">
        <f>ROUND(Source!AV527,O532)</f>
        <v>216.48</v>
      </c>
      <c r="G532" s="4" t="s">
        <v>80</v>
      </c>
      <c r="H532" s="4" t="s">
        <v>81</v>
      </c>
      <c r="I532" s="4"/>
      <c r="J532" s="4"/>
      <c r="K532" s="4">
        <v>225</v>
      </c>
      <c r="L532" s="4">
        <v>4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216.48</v>
      </c>
      <c r="X532" s="4">
        <v>1</v>
      </c>
      <c r="Y532" s="4">
        <v>216.48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226</v>
      </c>
      <c r="F533" s="4">
        <f>ROUND(Source!AW527,O533)</f>
        <v>216.48</v>
      </c>
      <c r="G533" s="4" t="s">
        <v>82</v>
      </c>
      <c r="H533" s="4" t="s">
        <v>83</v>
      </c>
      <c r="I533" s="4"/>
      <c r="J533" s="4"/>
      <c r="K533" s="4">
        <v>226</v>
      </c>
      <c r="L533" s="4">
        <v>5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216.48</v>
      </c>
      <c r="X533" s="4">
        <v>1</v>
      </c>
      <c r="Y533" s="4">
        <v>216.48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227</v>
      </c>
      <c r="F534" s="4">
        <f>ROUND(Source!AX527,O534)</f>
        <v>0</v>
      </c>
      <c r="G534" s="4" t="s">
        <v>84</v>
      </c>
      <c r="H534" s="4" t="s">
        <v>85</v>
      </c>
      <c r="I534" s="4"/>
      <c r="J534" s="4"/>
      <c r="K534" s="4">
        <v>227</v>
      </c>
      <c r="L534" s="4">
        <v>6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228</v>
      </c>
      <c r="F535" s="4">
        <f>ROUND(Source!AY527,O535)</f>
        <v>216.48</v>
      </c>
      <c r="G535" s="4" t="s">
        <v>86</v>
      </c>
      <c r="H535" s="4" t="s">
        <v>87</v>
      </c>
      <c r="I535" s="4"/>
      <c r="J535" s="4"/>
      <c r="K535" s="4">
        <v>228</v>
      </c>
      <c r="L535" s="4">
        <v>7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216.48</v>
      </c>
      <c r="X535" s="4">
        <v>1</v>
      </c>
      <c r="Y535" s="4">
        <v>216.48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216</v>
      </c>
      <c r="F536" s="4">
        <f>ROUND(Source!AP527,O536)</f>
        <v>0</v>
      </c>
      <c r="G536" s="4" t="s">
        <v>88</v>
      </c>
      <c r="H536" s="4" t="s">
        <v>89</v>
      </c>
      <c r="I536" s="4"/>
      <c r="J536" s="4"/>
      <c r="K536" s="4">
        <v>216</v>
      </c>
      <c r="L536" s="4">
        <v>8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223</v>
      </c>
      <c r="F537" s="4">
        <f>ROUND(Source!AQ527,O537)</f>
        <v>0</v>
      </c>
      <c r="G537" s="4" t="s">
        <v>90</v>
      </c>
      <c r="H537" s="4" t="s">
        <v>91</v>
      </c>
      <c r="I537" s="4"/>
      <c r="J537" s="4"/>
      <c r="K537" s="4">
        <v>223</v>
      </c>
      <c r="L537" s="4">
        <v>9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229</v>
      </c>
      <c r="F538" s="4">
        <f>ROUND(Source!AZ527,O538)</f>
        <v>0</v>
      </c>
      <c r="G538" s="4" t="s">
        <v>92</v>
      </c>
      <c r="H538" s="4" t="s">
        <v>93</v>
      </c>
      <c r="I538" s="4"/>
      <c r="J538" s="4"/>
      <c r="K538" s="4">
        <v>229</v>
      </c>
      <c r="L538" s="4">
        <v>10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203</v>
      </c>
      <c r="F539" s="4">
        <f>ROUND(Source!Q527,O539)</f>
        <v>105.64</v>
      </c>
      <c r="G539" s="4" t="s">
        <v>94</v>
      </c>
      <c r="H539" s="4" t="s">
        <v>95</v>
      </c>
      <c r="I539" s="4"/>
      <c r="J539" s="4"/>
      <c r="K539" s="4">
        <v>203</v>
      </c>
      <c r="L539" s="4">
        <v>11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105.64</v>
      </c>
      <c r="X539" s="4">
        <v>1</v>
      </c>
      <c r="Y539" s="4">
        <v>105.64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231</v>
      </c>
      <c r="F540" s="4">
        <f>ROUND(Source!BB527,O540)</f>
        <v>0</v>
      </c>
      <c r="G540" s="4" t="s">
        <v>96</v>
      </c>
      <c r="H540" s="4" t="s">
        <v>97</v>
      </c>
      <c r="I540" s="4"/>
      <c r="J540" s="4"/>
      <c r="K540" s="4">
        <v>231</v>
      </c>
      <c r="L540" s="4">
        <v>12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204</v>
      </c>
      <c r="F541" s="4">
        <f>ROUND(Source!R527,O541)</f>
        <v>0.64</v>
      </c>
      <c r="G541" s="4" t="s">
        <v>98</v>
      </c>
      <c r="H541" s="4" t="s">
        <v>99</v>
      </c>
      <c r="I541" s="4"/>
      <c r="J541" s="4"/>
      <c r="K541" s="4">
        <v>204</v>
      </c>
      <c r="L541" s="4">
        <v>13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0.64</v>
      </c>
      <c r="X541" s="4">
        <v>1</v>
      </c>
      <c r="Y541" s="4">
        <v>0.64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205</v>
      </c>
      <c r="F542" s="4">
        <f>ROUND(Source!S527,O542)</f>
        <v>76453.08</v>
      </c>
      <c r="G542" s="4" t="s">
        <v>100</v>
      </c>
      <c r="H542" s="4" t="s">
        <v>101</v>
      </c>
      <c r="I542" s="4"/>
      <c r="J542" s="4"/>
      <c r="K542" s="4">
        <v>205</v>
      </c>
      <c r="L542" s="4">
        <v>14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76453.08</v>
      </c>
      <c r="X542" s="4">
        <v>1</v>
      </c>
      <c r="Y542" s="4">
        <v>76453.08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232</v>
      </c>
      <c r="F543" s="4">
        <f>ROUND(Source!BC527,O543)</f>
        <v>0</v>
      </c>
      <c r="G543" s="4" t="s">
        <v>102</v>
      </c>
      <c r="H543" s="4" t="s">
        <v>103</v>
      </c>
      <c r="I543" s="4"/>
      <c r="J543" s="4"/>
      <c r="K543" s="4">
        <v>232</v>
      </c>
      <c r="L543" s="4">
        <v>15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214</v>
      </c>
      <c r="F544" s="4">
        <f>ROUND(Source!AS527,O544)</f>
        <v>0</v>
      </c>
      <c r="G544" s="4" t="s">
        <v>104</v>
      </c>
      <c r="H544" s="4" t="s">
        <v>105</v>
      </c>
      <c r="I544" s="4"/>
      <c r="J544" s="4"/>
      <c r="K544" s="4">
        <v>214</v>
      </c>
      <c r="L544" s="4">
        <v>16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06" x14ac:dyDescent="0.2">
      <c r="A545" s="4">
        <v>50</v>
      </c>
      <c r="B545" s="4">
        <v>0</v>
      </c>
      <c r="C545" s="4">
        <v>0</v>
      </c>
      <c r="D545" s="4">
        <v>1</v>
      </c>
      <c r="E545" s="4">
        <v>215</v>
      </c>
      <c r="F545" s="4">
        <f>ROUND(Source!AT527,O545)</f>
        <v>0</v>
      </c>
      <c r="G545" s="4" t="s">
        <v>106</v>
      </c>
      <c r="H545" s="4" t="s">
        <v>107</v>
      </c>
      <c r="I545" s="4"/>
      <c r="J545" s="4"/>
      <c r="K545" s="4">
        <v>215</v>
      </c>
      <c r="L545" s="4">
        <v>17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06" x14ac:dyDescent="0.2">
      <c r="A546" s="4">
        <v>50</v>
      </c>
      <c r="B546" s="4">
        <v>0</v>
      </c>
      <c r="C546" s="4">
        <v>0</v>
      </c>
      <c r="D546" s="4">
        <v>1</v>
      </c>
      <c r="E546" s="4">
        <v>217</v>
      </c>
      <c r="F546" s="4">
        <f>ROUND(Source!AU527,O546)</f>
        <v>137938.35</v>
      </c>
      <c r="G546" s="4" t="s">
        <v>108</v>
      </c>
      <c r="H546" s="4" t="s">
        <v>109</v>
      </c>
      <c r="I546" s="4"/>
      <c r="J546" s="4"/>
      <c r="K546" s="4">
        <v>217</v>
      </c>
      <c r="L546" s="4">
        <v>18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137938.35</v>
      </c>
      <c r="X546" s="4">
        <v>1</v>
      </c>
      <c r="Y546" s="4">
        <v>137938.35</v>
      </c>
      <c r="Z546" s="4"/>
      <c r="AA546" s="4"/>
      <c r="AB546" s="4"/>
    </row>
    <row r="547" spans="1:206" x14ac:dyDescent="0.2">
      <c r="A547" s="4">
        <v>50</v>
      </c>
      <c r="B547" s="4">
        <v>0</v>
      </c>
      <c r="C547" s="4">
        <v>0</v>
      </c>
      <c r="D547" s="4">
        <v>1</v>
      </c>
      <c r="E547" s="4">
        <v>230</v>
      </c>
      <c r="F547" s="4">
        <f>ROUND(Source!BA527,O547)</f>
        <v>0</v>
      </c>
      <c r="G547" s="4" t="s">
        <v>110</v>
      </c>
      <c r="H547" s="4" t="s">
        <v>111</v>
      </c>
      <c r="I547" s="4"/>
      <c r="J547" s="4"/>
      <c r="K547" s="4">
        <v>230</v>
      </c>
      <c r="L547" s="4">
        <v>19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06" x14ac:dyDescent="0.2">
      <c r="A548" s="4">
        <v>50</v>
      </c>
      <c r="B548" s="4">
        <v>0</v>
      </c>
      <c r="C548" s="4">
        <v>0</v>
      </c>
      <c r="D548" s="4">
        <v>1</v>
      </c>
      <c r="E548" s="4">
        <v>206</v>
      </c>
      <c r="F548" s="4">
        <f>ROUND(Source!T527,O548)</f>
        <v>0</v>
      </c>
      <c r="G548" s="4" t="s">
        <v>112</v>
      </c>
      <c r="H548" s="4" t="s">
        <v>113</v>
      </c>
      <c r="I548" s="4"/>
      <c r="J548" s="4"/>
      <c r="K548" s="4">
        <v>206</v>
      </c>
      <c r="L548" s="4">
        <v>20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06" x14ac:dyDescent="0.2">
      <c r="A549" s="4">
        <v>50</v>
      </c>
      <c r="B549" s="4">
        <v>0</v>
      </c>
      <c r="C549" s="4">
        <v>0</v>
      </c>
      <c r="D549" s="4">
        <v>1</v>
      </c>
      <c r="E549" s="4">
        <v>207</v>
      </c>
      <c r="F549" s="4">
        <f>Source!U527</f>
        <v>134.12</v>
      </c>
      <c r="G549" s="4" t="s">
        <v>114</v>
      </c>
      <c r="H549" s="4" t="s">
        <v>115</v>
      </c>
      <c r="I549" s="4"/>
      <c r="J549" s="4"/>
      <c r="K549" s="4">
        <v>207</v>
      </c>
      <c r="L549" s="4">
        <v>21</v>
      </c>
      <c r="M549" s="4">
        <v>3</v>
      </c>
      <c r="N549" s="4" t="s">
        <v>3</v>
      </c>
      <c r="O549" s="4">
        <v>-1</v>
      </c>
      <c r="P549" s="4"/>
      <c r="Q549" s="4"/>
      <c r="R549" s="4"/>
      <c r="S549" s="4"/>
      <c r="T549" s="4"/>
      <c r="U549" s="4"/>
      <c r="V549" s="4"/>
      <c r="W549" s="4">
        <v>134.12</v>
      </c>
      <c r="X549" s="4">
        <v>1</v>
      </c>
      <c r="Y549" s="4">
        <v>134.12</v>
      </c>
      <c r="Z549" s="4"/>
      <c r="AA549" s="4"/>
      <c r="AB549" s="4"/>
    </row>
    <row r="550" spans="1:206" x14ac:dyDescent="0.2">
      <c r="A550" s="4">
        <v>50</v>
      </c>
      <c r="B550" s="4">
        <v>0</v>
      </c>
      <c r="C550" s="4">
        <v>0</v>
      </c>
      <c r="D550" s="4">
        <v>1</v>
      </c>
      <c r="E550" s="4">
        <v>208</v>
      </c>
      <c r="F550" s="4">
        <f>Source!V527</f>
        <v>0</v>
      </c>
      <c r="G550" s="4" t="s">
        <v>116</v>
      </c>
      <c r="H550" s="4" t="s">
        <v>117</v>
      </c>
      <c r="I550" s="4"/>
      <c r="J550" s="4"/>
      <c r="K550" s="4">
        <v>208</v>
      </c>
      <c r="L550" s="4">
        <v>22</v>
      </c>
      <c r="M550" s="4">
        <v>3</v>
      </c>
      <c r="N550" s="4" t="s">
        <v>3</v>
      </c>
      <c r="O550" s="4">
        <v>-1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06" x14ac:dyDescent="0.2">
      <c r="A551" s="4">
        <v>50</v>
      </c>
      <c r="B551" s="4">
        <v>0</v>
      </c>
      <c r="C551" s="4">
        <v>0</v>
      </c>
      <c r="D551" s="4">
        <v>1</v>
      </c>
      <c r="E551" s="4">
        <v>209</v>
      </c>
      <c r="F551" s="4">
        <f>ROUND(Source!W527,O551)</f>
        <v>0</v>
      </c>
      <c r="G551" s="4" t="s">
        <v>118</v>
      </c>
      <c r="H551" s="4" t="s">
        <v>119</v>
      </c>
      <c r="I551" s="4"/>
      <c r="J551" s="4"/>
      <c r="K551" s="4">
        <v>209</v>
      </c>
      <c r="L551" s="4">
        <v>23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06" x14ac:dyDescent="0.2">
      <c r="A552" s="4">
        <v>50</v>
      </c>
      <c r="B552" s="4">
        <v>0</v>
      </c>
      <c r="C552" s="4">
        <v>0</v>
      </c>
      <c r="D552" s="4">
        <v>1</v>
      </c>
      <c r="E552" s="4">
        <v>233</v>
      </c>
      <c r="F552" s="4">
        <f>ROUND(Source!BD527,O552)</f>
        <v>0</v>
      </c>
      <c r="G552" s="4" t="s">
        <v>120</v>
      </c>
      <c r="H552" s="4" t="s">
        <v>121</v>
      </c>
      <c r="I552" s="4"/>
      <c r="J552" s="4"/>
      <c r="K552" s="4">
        <v>233</v>
      </c>
      <c r="L552" s="4">
        <v>24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06" x14ac:dyDescent="0.2">
      <c r="A553" s="4">
        <v>50</v>
      </c>
      <c r="B553" s="4">
        <v>0</v>
      </c>
      <c r="C553" s="4">
        <v>0</v>
      </c>
      <c r="D553" s="4">
        <v>1</v>
      </c>
      <c r="E553" s="4">
        <v>210</v>
      </c>
      <c r="F553" s="4">
        <f>ROUND(Source!X527,O553)</f>
        <v>53517.15</v>
      </c>
      <c r="G553" s="4" t="s">
        <v>122</v>
      </c>
      <c r="H553" s="4" t="s">
        <v>123</v>
      </c>
      <c r="I553" s="4"/>
      <c r="J553" s="4"/>
      <c r="K553" s="4">
        <v>210</v>
      </c>
      <c r="L553" s="4">
        <v>25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53517.15</v>
      </c>
      <c r="X553" s="4">
        <v>1</v>
      </c>
      <c r="Y553" s="4">
        <v>53517.15</v>
      </c>
      <c r="Z553" s="4"/>
      <c r="AA553" s="4"/>
      <c r="AB553" s="4"/>
    </row>
    <row r="554" spans="1:206" x14ac:dyDescent="0.2">
      <c r="A554" s="4">
        <v>50</v>
      </c>
      <c r="B554" s="4">
        <v>0</v>
      </c>
      <c r="C554" s="4">
        <v>0</v>
      </c>
      <c r="D554" s="4">
        <v>1</v>
      </c>
      <c r="E554" s="4">
        <v>211</v>
      </c>
      <c r="F554" s="4">
        <f>ROUND(Source!Y527,O554)</f>
        <v>7645.31</v>
      </c>
      <c r="G554" s="4" t="s">
        <v>124</v>
      </c>
      <c r="H554" s="4" t="s">
        <v>125</v>
      </c>
      <c r="I554" s="4"/>
      <c r="J554" s="4"/>
      <c r="K554" s="4">
        <v>211</v>
      </c>
      <c r="L554" s="4">
        <v>26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7645.31</v>
      </c>
      <c r="X554" s="4">
        <v>1</v>
      </c>
      <c r="Y554" s="4">
        <v>7645.31</v>
      </c>
      <c r="Z554" s="4"/>
      <c r="AA554" s="4"/>
      <c r="AB554" s="4"/>
    </row>
    <row r="555" spans="1:206" x14ac:dyDescent="0.2">
      <c r="A555" s="4">
        <v>50</v>
      </c>
      <c r="B555" s="4">
        <v>0</v>
      </c>
      <c r="C555" s="4">
        <v>0</v>
      </c>
      <c r="D555" s="4">
        <v>1</v>
      </c>
      <c r="E555" s="4">
        <v>224</v>
      </c>
      <c r="F555" s="4">
        <f>ROUND(Source!AR527,O555)</f>
        <v>137938.35</v>
      </c>
      <c r="G555" s="4" t="s">
        <v>126</v>
      </c>
      <c r="H555" s="4" t="s">
        <v>127</v>
      </c>
      <c r="I555" s="4"/>
      <c r="J555" s="4"/>
      <c r="K555" s="4">
        <v>224</v>
      </c>
      <c r="L555" s="4">
        <v>27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137938.35</v>
      </c>
      <c r="X555" s="4">
        <v>1</v>
      </c>
      <c r="Y555" s="4">
        <v>137938.35</v>
      </c>
      <c r="Z555" s="4"/>
      <c r="AA555" s="4"/>
      <c r="AB555" s="4"/>
    </row>
    <row r="557" spans="1:206" x14ac:dyDescent="0.2">
      <c r="A557" s="1">
        <v>5</v>
      </c>
      <c r="B557" s="1">
        <v>1</v>
      </c>
      <c r="C557" s="1"/>
      <c r="D557" s="1">
        <f>ROW(A564)</f>
        <v>564</v>
      </c>
      <c r="E557" s="1"/>
      <c r="F557" s="1" t="s">
        <v>310</v>
      </c>
      <c r="G557" s="1" t="s">
        <v>431</v>
      </c>
      <c r="H557" s="1" t="s">
        <v>3</v>
      </c>
      <c r="I557" s="1">
        <v>0</v>
      </c>
      <c r="J557" s="1"/>
      <c r="K557" s="1">
        <v>0</v>
      </c>
      <c r="L557" s="1"/>
      <c r="M557" s="1" t="s">
        <v>3</v>
      </c>
      <c r="N557" s="1"/>
      <c r="O557" s="1"/>
      <c r="P557" s="1"/>
      <c r="Q557" s="1"/>
      <c r="R557" s="1"/>
      <c r="S557" s="1">
        <v>0</v>
      </c>
      <c r="T557" s="1"/>
      <c r="U557" s="1" t="s">
        <v>3</v>
      </c>
      <c r="V557" s="1">
        <v>0</v>
      </c>
      <c r="W557" s="1"/>
      <c r="X557" s="1"/>
      <c r="Y557" s="1"/>
      <c r="Z557" s="1"/>
      <c r="AA557" s="1"/>
      <c r="AB557" s="1" t="s">
        <v>3</v>
      </c>
      <c r="AC557" s="1" t="s">
        <v>3</v>
      </c>
      <c r="AD557" s="1" t="s">
        <v>3</v>
      </c>
      <c r="AE557" s="1" t="s">
        <v>3</v>
      </c>
      <c r="AF557" s="1" t="s">
        <v>3</v>
      </c>
      <c r="AG557" s="1" t="s">
        <v>3</v>
      </c>
      <c r="AH557" s="1"/>
      <c r="AI557" s="1"/>
      <c r="AJ557" s="1"/>
      <c r="AK557" s="1"/>
      <c r="AL557" s="1"/>
      <c r="AM557" s="1"/>
      <c r="AN557" s="1"/>
      <c r="AO557" s="1"/>
      <c r="AP557" s="1" t="s">
        <v>3</v>
      </c>
      <c r="AQ557" s="1" t="s">
        <v>3</v>
      </c>
      <c r="AR557" s="1" t="s">
        <v>3</v>
      </c>
      <c r="AS557" s="1"/>
      <c r="AT557" s="1"/>
      <c r="AU557" s="1"/>
      <c r="AV557" s="1"/>
      <c r="AW557" s="1"/>
      <c r="AX557" s="1"/>
      <c r="AY557" s="1"/>
      <c r="AZ557" s="1" t="s">
        <v>3</v>
      </c>
      <c r="BA557" s="1"/>
      <c r="BB557" s="1" t="s">
        <v>3</v>
      </c>
      <c r="BC557" s="1" t="s">
        <v>3</v>
      </c>
      <c r="BD557" s="1" t="s">
        <v>3</v>
      </c>
      <c r="BE557" s="1" t="s">
        <v>3</v>
      </c>
      <c r="BF557" s="1" t="s">
        <v>3</v>
      </c>
      <c r="BG557" s="1" t="s">
        <v>3</v>
      </c>
      <c r="BH557" s="1" t="s">
        <v>3</v>
      </c>
      <c r="BI557" s="1" t="s">
        <v>3</v>
      </c>
      <c r="BJ557" s="1" t="s">
        <v>3</v>
      </c>
      <c r="BK557" s="1" t="s">
        <v>3</v>
      </c>
      <c r="BL557" s="1" t="s">
        <v>3</v>
      </c>
      <c r="BM557" s="1" t="s">
        <v>3</v>
      </c>
      <c r="BN557" s="1" t="s">
        <v>3</v>
      </c>
      <c r="BO557" s="1" t="s">
        <v>3</v>
      </c>
      <c r="BP557" s="1" t="s">
        <v>3</v>
      </c>
      <c r="BQ557" s="1"/>
      <c r="BR557" s="1"/>
      <c r="BS557" s="1"/>
      <c r="BT557" s="1"/>
      <c r="BU557" s="1"/>
      <c r="BV557" s="1"/>
      <c r="BW557" s="1"/>
      <c r="BX557" s="1">
        <v>0</v>
      </c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>
        <v>0</v>
      </c>
    </row>
    <row r="559" spans="1:206" x14ac:dyDescent="0.2">
      <c r="A559" s="2">
        <v>52</v>
      </c>
      <c r="B559" s="2">
        <f t="shared" ref="B559:G559" si="440">B564</f>
        <v>1</v>
      </c>
      <c r="C559" s="2">
        <f t="shared" si="440"/>
        <v>5</v>
      </c>
      <c r="D559" s="2">
        <f t="shared" si="440"/>
        <v>557</v>
      </c>
      <c r="E559" s="2">
        <f t="shared" si="440"/>
        <v>0</v>
      </c>
      <c r="F559" s="2" t="str">
        <f t="shared" si="440"/>
        <v>Новый подраздел</v>
      </c>
      <c r="G559" s="2" t="str">
        <f t="shared" si="440"/>
        <v>Очистка и дезинфекция воздуховодов</v>
      </c>
      <c r="H559" s="2"/>
      <c r="I559" s="2"/>
      <c r="J559" s="2"/>
      <c r="K559" s="2"/>
      <c r="L559" s="2"/>
      <c r="M559" s="2"/>
      <c r="N559" s="2"/>
      <c r="O559" s="2">
        <f t="shared" ref="O559:AT559" si="441">O564</f>
        <v>0</v>
      </c>
      <c r="P559" s="2">
        <f t="shared" si="441"/>
        <v>0</v>
      </c>
      <c r="Q559" s="2">
        <f t="shared" si="441"/>
        <v>0</v>
      </c>
      <c r="R559" s="2">
        <f t="shared" si="441"/>
        <v>0</v>
      </c>
      <c r="S559" s="2">
        <f t="shared" si="441"/>
        <v>0</v>
      </c>
      <c r="T559" s="2">
        <f t="shared" si="441"/>
        <v>0</v>
      </c>
      <c r="U559" s="2">
        <f t="shared" si="441"/>
        <v>0</v>
      </c>
      <c r="V559" s="2">
        <f t="shared" si="441"/>
        <v>0</v>
      </c>
      <c r="W559" s="2">
        <f t="shared" si="441"/>
        <v>0</v>
      </c>
      <c r="X559" s="2">
        <f t="shared" si="441"/>
        <v>0</v>
      </c>
      <c r="Y559" s="2">
        <f t="shared" si="441"/>
        <v>0</v>
      </c>
      <c r="Z559" s="2">
        <f t="shared" si="441"/>
        <v>0</v>
      </c>
      <c r="AA559" s="2">
        <f t="shared" si="441"/>
        <v>0</v>
      </c>
      <c r="AB559" s="2">
        <f t="shared" si="441"/>
        <v>0</v>
      </c>
      <c r="AC559" s="2">
        <f t="shared" si="441"/>
        <v>0</v>
      </c>
      <c r="AD559" s="2">
        <f t="shared" si="441"/>
        <v>0</v>
      </c>
      <c r="AE559" s="2">
        <f t="shared" si="441"/>
        <v>0</v>
      </c>
      <c r="AF559" s="2">
        <f t="shared" si="441"/>
        <v>0</v>
      </c>
      <c r="AG559" s="2">
        <f t="shared" si="441"/>
        <v>0</v>
      </c>
      <c r="AH559" s="2">
        <f t="shared" si="441"/>
        <v>0</v>
      </c>
      <c r="AI559" s="2">
        <f t="shared" si="441"/>
        <v>0</v>
      </c>
      <c r="AJ559" s="2">
        <f t="shared" si="441"/>
        <v>0</v>
      </c>
      <c r="AK559" s="2">
        <f t="shared" si="441"/>
        <v>0</v>
      </c>
      <c r="AL559" s="2">
        <f t="shared" si="441"/>
        <v>0</v>
      </c>
      <c r="AM559" s="2">
        <f t="shared" si="441"/>
        <v>0</v>
      </c>
      <c r="AN559" s="2">
        <f t="shared" si="441"/>
        <v>0</v>
      </c>
      <c r="AO559" s="2">
        <f t="shared" si="441"/>
        <v>0</v>
      </c>
      <c r="AP559" s="2">
        <f t="shared" si="441"/>
        <v>0</v>
      </c>
      <c r="AQ559" s="2">
        <f t="shared" si="441"/>
        <v>0</v>
      </c>
      <c r="AR559" s="2">
        <f t="shared" si="441"/>
        <v>0</v>
      </c>
      <c r="AS559" s="2">
        <f t="shared" si="441"/>
        <v>0</v>
      </c>
      <c r="AT559" s="2">
        <f t="shared" si="441"/>
        <v>0</v>
      </c>
      <c r="AU559" s="2">
        <f t="shared" ref="AU559:BZ559" si="442">AU564</f>
        <v>0</v>
      </c>
      <c r="AV559" s="2">
        <f t="shared" si="442"/>
        <v>0</v>
      </c>
      <c r="AW559" s="2">
        <f t="shared" si="442"/>
        <v>0</v>
      </c>
      <c r="AX559" s="2">
        <f t="shared" si="442"/>
        <v>0</v>
      </c>
      <c r="AY559" s="2">
        <f t="shared" si="442"/>
        <v>0</v>
      </c>
      <c r="AZ559" s="2">
        <f t="shared" si="442"/>
        <v>0</v>
      </c>
      <c r="BA559" s="2">
        <f t="shared" si="442"/>
        <v>0</v>
      </c>
      <c r="BB559" s="2">
        <f t="shared" si="442"/>
        <v>0</v>
      </c>
      <c r="BC559" s="2">
        <f t="shared" si="442"/>
        <v>0</v>
      </c>
      <c r="BD559" s="2">
        <f t="shared" si="442"/>
        <v>0</v>
      </c>
      <c r="BE559" s="2">
        <f t="shared" si="442"/>
        <v>0</v>
      </c>
      <c r="BF559" s="2">
        <f t="shared" si="442"/>
        <v>0</v>
      </c>
      <c r="BG559" s="2">
        <f t="shared" si="442"/>
        <v>0</v>
      </c>
      <c r="BH559" s="2">
        <f t="shared" si="442"/>
        <v>0</v>
      </c>
      <c r="BI559" s="2">
        <f t="shared" si="442"/>
        <v>0</v>
      </c>
      <c r="BJ559" s="2">
        <f t="shared" si="442"/>
        <v>0</v>
      </c>
      <c r="BK559" s="2">
        <f t="shared" si="442"/>
        <v>0</v>
      </c>
      <c r="BL559" s="2">
        <f t="shared" si="442"/>
        <v>0</v>
      </c>
      <c r="BM559" s="2">
        <f t="shared" si="442"/>
        <v>0</v>
      </c>
      <c r="BN559" s="2">
        <f t="shared" si="442"/>
        <v>0</v>
      </c>
      <c r="BO559" s="2">
        <f t="shared" si="442"/>
        <v>0</v>
      </c>
      <c r="BP559" s="2">
        <f t="shared" si="442"/>
        <v>0</v>
      </c>
      <c r="BQ559" s="2">
        <f t="shared" si="442"/>
        <v>0</v>
      </c>
      <c r="BR559" s="2">
        <f t="shared" si="442"/>
        <v>0</v>
      </c>
      <c r="BS559" s="2">
        <f t="shared" si="442"/>
        <v>0</v>
      </c>
      <c r="BT559" s="2">
        <f t="shared" si="442"/>
        <v>0</v>
      </c>
      <c r="BU559" s="2">
        <f t="shared" si="442"/>
        <v>0</v>
      </c>
      <c r="BV559" s="2">
        <f t="shared" si="442"/>
        <v>0</v>
      </c>
      <c r="BW559" s="2">
        <f t="shared" si="442"/>
        <v>0</v>
      </c>
      <c r="BX559" s="2">
        <f t="shared" si="442"/>
        <v>0</v>
      </c>
      <c r="BY559" s="2">
        <f t="shared" si="442"/>
        <v>0</v>
      </c>
      <c r="BZ559" s="2">
        <f t="shared" si="442"/>
        <v>0</v>
      </c>
      <c r="CA559" s="2">
        <f t="shared" ref="CA559:DF559" si="443">CA564</f>
        <v>0</v>
      </c>
      <c r="CB559" s="2">
        <f t="shared" si="443"/>
        <v>0</v>
      </c>
      <c r="CC559" s="2">
        <f t="shared" si="443"/>
        <v>0</v>
      </c>
      <c r="CD559" s="2">
        <f t="shared" si="443"/>
        <v>0</v>
      </c>
      <c r="CE559" s="2">
        <f t="shared" si="443"/>
        <v>0</v>
      </c>
      <c r="CF559" s="2">
        <f t="shared" si="443"/>
        <v>0</v>
      </c>
      <c r="CG559" s="2">
        <f t="shared" si="443"/>
        <v>0</v>
      </c>
      <c r="CH559" s="2">
        <f t="shared" si="443"/>
        <v>0</v>
      </c>
      <c r="CI559" s="2">
        <f t="shared" si="443"/>
        <v>0</v>
      </c>
      <c r="CJ559" s="2">
        <f t="shared" si="443"/>
        <v>0</v>
      </c>
      <c r="CK559" s="2">
        <f t="shared" si="443"/>
        <v>0</v>
      </c>
      <c r="CL559" s="2">
        <f t="shared" si="443"/>
        <v>0</v>
      </c>
      <c r="CM559" s="2">
        <f t="shared" si="443"/>
        <v>0</v>
      </c>
      <c r="CN559" s="2">
        <f t="shared" si="443"/>
        <v>0</v>
      </c>
      <c r="CO559" s="2">
        <f t="shared" si="443"/>
        <v>0</v>
      </c>
      <c r="CP559" s="2">
        <f t="shared" si="443"/>
        <v>0</v>
      </c>
      <c r="CQ559" s="2">
        <f t="shared" si="443"/>
        <v>0</v>
      </c>
      <c r="CR559" s="2">
        <f t="shared" si="443"/>
        <v>0</v>
      </c>
      <c r="CS559" s="2">
        <f t="shared" si="443"/>
        <v>0</v>
      </c>
      <c r="CT559" s="2">
        <f t="shared" si="443"/>
        <v>0</v>
      </c>
      <c r="CU559" s="2">
        <f t="shared" si="443"/>
        <v>0</v>
      </c>
      <c r="CV559" s="2">
        <f t="shared" si="443"/>
        <v>0</v>
      </c>
      <c r="CW559" s="2">
        <f t="shared" si="443"/>
        <v>0</v>
      </c>
      <c r="CX559" s="2">
        <f t="shared" si="443"/>
        <v>0</v>
      </c>
      <c r="CY559" s="2">
        <f t="shared" si="443"/>
        <v>0</v>
      </c>
      <c r="CZ559" s="2">
        <f t="shared" si="443"/>
        <v>0</v>
      </c>
      <c r="DA559" s="2">
        <f t="shared" si="443"/>
        <v>0</v>
      </c>
      <c r="DB559" s="2">
        <f t="shared" si="443"/>
        <v>0</v>
      </c>
      <c r="DC559" s="2">
        <f t="shared" si="443"/>
        <v>0</v>
      </c>
      <c r="DD559" s="2">
        <f t="shared" si="443"/>
        <v>0</v>
      </c>
      <c r="DE559" s="2">
        <f t="shared" si="443"/>
        <v>0</v>
      </c>
      <c r="DF559" s="2">
        <f t="shared" si="443"/>
        <v>0</v>
      </c>
      <c r="DG559" s="3">
        <f t="shared" ref="DG559:EL559" si="444">DG564</f>
        <v>0</v>
      </c>
      <c r="DH559" s="3">
        <f t="shared" si="444"/>
        <v>0</v>
      </c>
      <c r="DI559" s="3">
        <f t="shared" si="444"/>
        <v>0</v>
      </c>
      <c r="DJ559" s="3">
        <f t="shared" si="444"/>
        <v>0</v>
      </c>
      <c r="DK559" s="3">
        <f t="shared" si="444"/>
        <v>0</v>
      </c>
      <c r="DL559" s="3">
        <f t="shared" si="444"/>
        <v>0</v>
      </c>
      <c r="DM559" s="3">
        <f t="shared" si="444"/>
        <v>0</v>
      </c>
      <c r="DN559" s="3">
        <f t="shared" si="444"/>
        <v>0</v>
      </c>
      <c r="DO559" s="3">
        <f t="shared" si="444"/>
        <v>0</v>
      </c>
      <c r="DP559" s="3">
        <f t="shared" si="444"/>
        <v>0</v>
      </c>
      <c r="DQ559" s="3">
        <f t="shared" si="444"/>
        <v>0</v>
      </c>
      <c r="DR559" s="3">
        <f t="shared" si="444"/>
        <v>0</v>
      </c>
      <c r="DS559" s="3">
        <f t="shared" si="444"/>
        <v>0</v>
      </c>
      <c r="DT559" s="3">
        <f t="shared" si="444"/>
        <v>0</v>
      </c>
      <c r="DU559" s="3">
        <f t="shared" si="444"/>
        <v>0</v>
      </c>
      <c r="DV559" s="3">
        <f t="shared" si="444"/>
        <v>0</v>
      </c>
      <c r="DW559" s="3">
        <f t="shared" si="444"/>
        <v>0</v>
      </c>
      <c r="DX559" s="3">
        <f t="shared" si="444"/>
        <v>0</v>
      </c>
      <c r="DY559" s="3">
        <f t="shared" si="444"/>
        <v>0</v>
      </c>
      <c r="DZ559" s="3">
        <f t="shared" si="444"/>
        <v>0</v>
      </c>
      <c r="EA559" s="3">
        <f t="shared" si="444"/>
        <v>0</v>
      </c>
      <c r="EB559" s="3">
        <f t="shared" si="444"/>
        <v>0</v>
      </c>
      <c r="EC559" s="3">
        <f t="shared" si="444"/>
        <v>0</v>
      </c>
      <c r="ED559" s="3">
        <f t="shared" si="444"/>
        <v>0</v>
      </c>
      <c r="EE559" s="3">
        <f t="shared" si="444"/>
        <v>0</v>
      </c>
      <c r="EF559" s="3">
        <f t="shared" si="444"/>
        <v>0</v>
      </c>
      <c r="EG559" s="3">
        <f t="shared" si="444"/>
        <v>0</v>
      </c>
      <c r="EH559" s="3">
        <f t="shared" si="444"/>
        <v>0</v>
      </c>
      <c r="EI559" s="3">
        <f t="shared" si="444"/>
        <v>0</v>
      </c>
      <c r="EJ559" s="3">
        <f t="shared" si="444"/>
        <v>0</v>
      </c>
      <c r="EK559" s="3">
        <f t="shared" si="444"/>
        <v>0</v>
      </c>
      <c r="EL559" s="3">
        <f t="shared" si="444"/>
        <v>0</v>
      </c>
      <c r="EM559" s="3">
        <f t="shared" ref="EM559:FR559" si="445">EM564</f>
        <v>0</v>
      </c>
      <c r="EN559" s="3">
        <f t="shared" si="445"/>
        <v>0</v>
      </c>
      <c r="EO559" s="3">
        <f t="shared" si="445"/>
        <v>0</v>
      </c>
      <c r="EP559" s="3">
        <f t="shared" si="445"/>
        <v>0</v>
      </c>
      <c r="EQ559" s="3">
        <f t="shared" si="445"/>
        <v>0</v>
      </c>
      <c r="ER559" s="3">
        <f t="shared" si="445"/>
        <v>0</v>
      </c>
      <c r="ES559" s="3">
        <f t="shared" si="445"/>
        <v>0</v>
      </c>
      <c r="ET559" s="3">
        <f t="shared" si="445"/>
        <v>0</v>
      </c>
      <c r="EU559" s="3">
        <f t="shared" si="445"/>
        <v>0</v>
      </c>
      <c r="EV559" s="3">
        <f t="shared" si="445"/>
        <v>0</v>
      </c>
      <c r="EW559" s="3">
        <f t="shared" si="445"/>
        <v>0</v>
      </c>
      <c r="EX559" s="3">
        <f t="shared" si="445"/>
        <v>0</v>
      </c>
      <c r="EY559" s="3">
        <f t="shared" si="445"/>
        <v>0</v>
      </c>
      <c r="EZ559" s="3">
        <f t="shared" si="445"/>
        <v>0</v>
      </c>
      <c r="FA559" s="3">
        <f t="shared" si="445"/>
        <v>0</v>
      </c>
      <c r="FB559" s="3">
        <f t="shared" si="445"/>
        <v>0</v>
      </c>
      <c r="FC559" s="3">
        <f t="shared" si="445"/>
        <v>0</v>
      </c>
      <c r="FD559" s="3">
        <f t="shared" si="445"/>
        <v>0</v>
      </c>
      <c r="FE559" s="3">
        <f t="shared" si="445"/>
        <v>0</v>
      </c>
      <c r="FF559" s="3">
        <f t="shared" si="445"/>
        <v>0</v>
      </c>
      <c r="FG559" s="3">
        <f t="shared" si="445"/>
        <v>0</v>
      </c>
      <c r="FH559" s="3">
        <f t="shared" si="445"/>
        <v>0</v>
      </c>
      <c r="FI559" s="3">
        <f t="shared" si="445"/>
        <v>0</v>
      </c>
      <c r="FJ559" s="3">
        <f t="shared" si="445"/>
        <v>0</v>
      </c>
      <c r="FK559" s="3">
        <f t="shared" si="445"/>
        <v>0</v>
      </c>
      <c r="FL559" s="3">
        <f t="shared" si="445"/>
        <v>0</v>
      </c>
      <c r="FM559" s="3">
        <f t="shared" si="445"/>
        <v>0</v>
      </c>
      <c r="FN559" s="3">
        <f t="shared" si="445"/>
        <v>0</v>
      </c>
      <c r="FO559" s="3">
        <f t="shared" si="445"/>
        <v>0</v>
      </c>
      <c r="FP559" s="3">
        <f t="shared" si="445"/>
        <v>0</v>
      </c>
      <c r="FQ559" s="3">
        <f t="shared" si="445"/>
        <v>0</v>
      </c>
      <c r="FR559" s="3">
        <f t="shared" si="445"/>
        <v>0</v>
      </c>
      <c r="FS559" s="3">
        <f t="shared" ref="FS559:GX559" si="446">FS564</f>
        <v>0</v>
      </c>
      <c r="FT559" s="3">
        <f t="shared" si="446"/>
        <v>0</v>
      </c>
      <c r="FU559" s="3">
        <f t="shared" si="446"/>
        <v>0</v>
      </c>
      <c r="FV559" s="3">
        <f t="shared" si="446"/>
        <v>0</v>
      </c>
      <c r="FW559" s="3">
        <f t="shared" si="446"/>
        <v>0</v>
      </c>
      <c r="FX559" s="3">
        <f t="shared" si="446"/>
        <v>0</v>
      </c>
      <c r="FY559" s="3">
        <f t="shared" si="446"/>
        <v>0</v>
      </c>
      <c r="FZ559" s="3">
        <f t="shared" si="446"/>
        <v>0</v>
      </c>
      <c r="GA559" s="3">
        <f t="shared" si="446"/>
        <v>0</v>
      </c>
      <c r="GB559" s="3">
        <f t="shared" si="446"/>
        <v>0</v>
      </c>
      <c r="GC559" s="3">
        <f t="shared" si="446"/>
        <v>0</v>
      </c>
      <c r="GD559" s="3">
        <f t="shared" si="446"/>
        <v>0</v>
      </c>
      <c r="GE559" s="3">
        <f t="shared" si="446"/>
        <v>0</v>
      </c>
      <c r="GF559" s="3">
        <f t="shared" si="446"/>
        <v>0</v>
      </c>
      <c r="GG559" s="3">
        <f t="shared" si="446"/>
        <v>0</v>
      </c>
      <c r="GH559" s="3">
        <f t="shared" si="446"/>
        <v>0</v>
      </c>
      <c r="GI559" s="3">
        <f t="shared" si="446"/>
        <v>0</v>
      </c>
      <c r="GJ559" s="3">
        <f t="shared" si="446"/>
        <v>0</v>
      </c>
      <c r="GK559" s="3">
        <f t="shared" si="446"/>
        <v>0</v>
      </c>
      <c r="GL559" s="3">
        <f t="shared" si="446"/>
        <v>0</v>
      </c>
      <c r="GM559" s="3">
        <f t="shared" si="446"/>
        <v>0</v>
      </c>
      <c r="GN559" s="3">
        <f t="shared" si="446"/>
        <v>0</v>
      </c>
      <c r="GO559" s="3">
        <f t="shared" si="446"/>
        <v>0</v>
      </c>
      <c r="GP559" s="3">
        <f t="shared" si="446"/>
        <v>0</v>
      </c>
      <c r="GQ559" s="3">
        <f t="shared" si="446"/>
        <v>0</v>
      </c>
      <c r="GR559" s="3">
        <f t="shared" si="446"/>
        <v>0</v>
      </c>
      <c r="GS559" s="3">
        <f t="shared" si="446"/>
        <v>0</v>
      </c>
      <c r="GT559" s="3">
        <f t="shared" si="446"/>
        <v>0</v>
      </c>
      <c r="GU559" s="3">
        <f t="shared" si="446"/>
        <v>0</v>
      </c>
      <c r="GV559" s="3">
        <f t="shared" si="446"/>
        <v>0</v>
      </c>
      <c r="GW559" s="3">
        <f t="shared" si="446"/>
        <v>0</v>
      </c>
      <c r="GX559" s="3">
        <f t="shared" si="446"/>
        <v>0</v>
      </c>
    </row>
    <row r="561" spans="1:245" x14ac:dyDescent="0.2">
      <c r="A561">
        <v>17</v>
      </c>
      <c r="B561">
        <v>1</v>
      </c>
      <c r="D561">
        <f>ROW(EtalonRes!A304)</f>
        <v>304</v>
      </c>
      <c r="E561" t="s">
        <v>3</v>
      </c>
      <c r="F561" t="s">
        <v>432</v>
      </c>
      <c r="G561" t="s">
        <v>433</v>
      </c>
      <c r="H561" t="s">
        <v>434</v>
      </c>
      <c r="I561">
        <f>ROUND((13887)/100,9)</f>
        <v>138.87</v>
      </c>
      <c r="J561">
        <v>0</v>
      </c>
      <c r="K561">
        <f>ROUND((13887)/100,9)</f>
        <v>138.87</v>
      </c>
      <c r="O561">
        <f>ROUND(CP561,2)</f>
        <v>1530050.22</v>
      </c>
      <c r="P561">
        <f>ROUND(CQ561*I561,2)</f>
        <v>542.98</v>
      </c>
      <c r="Q561">
        <f>ROUND(CR561*I561,2)</f>
        <v>706327.54</v>
      </c>
      <c r="R561">
        <f>ROUND(CS561*I561,2)</f>
        <v>372696.53</v>
      </c>
      <c r="S561">
        <f>ROUND(CT561*I561,2)</f>
        <v>823179.7</v>
      </c>
      <c r="T561">
        <f>ROUND(CU561*I561,2)</f>
        <v>0</v>
      </c>
      <c r="U561">
        <f>CV561*I561</f>
        <v>1823.3631000000003</v>
      </c>
      <c r="V561">
        <f>CW561*I561</f>
        <v>0</v>
      </c>
      <c r="W561">
        <f>ROUND(CX561*I561,2)</f>
        <v>0</v>
      </c>
      <c r="X561">
        <f>ROUND(CY561,2)</f>
        <v>576225.79</v>
      </c>
      <c r="Y561">
        <f>ROUND(CZ561,2)</f>
        <v>82317.97</v>
      </c>
      <c r="AA561">
        <v>-1</v>
      </c>
      <c r="AB561">
        <f>ROUND((AC561+AD561+AF561),6)</f>
        <v>11017.86</v>
      </c>
      <c r="AC561">
        <f>ROUND((ES561),6)</f>
        <v>3.91</v>
      </c>
      <c r="AD561">
        <f>ROUND((((ET561)-(EU561))+AE561),6)</f>
        <v>5086.25</v>
      </c>
      <c r="AE561">
        <f>ROUND((EU561),6)</f>
        <v>2683.78</v>
      </c>
      <c r="AF561">
        <f>ROUND((EV561),6)</f>
        <v>5927.7</v>
      </c>
      <c r="AG561">
        <f>ROUND((AP561),6)</f>
        <v>0</v>
      </c>
      <c r="AH561">
        <f>(EW561)</f>
        <v>13.13</v>
      </c>
      <c r="AI561">
        <f>(EX561)</f>
        <v>0</v>
      </c>
      <c r="AJ561">
        <f>(AS561)</f>
        <v>0</v>
      </c>
      <c r="AK561">
        <v>11017.86</v>
      </c>
      <c r="AL561">
        <v>3.91</v>
      </c>
      <c r="AM561">
        <v>5086.25</v>
      </c>
      <c r="AN561">
        <v>2683.78</v>
      </c>
      <c r="AO561">
        <v>5927.7</v>
      </c>
      <c r="AP561">
        <v>0</v>
      </c>
      <c r="AQ561">
        <v>13.13</v>
      </c>
      <c r="AR561">
        <v>0</v>
      </c>
      <c r="AS561">
        <v>0</v>
      </c>
      <c r="AT561">
        <v>70</v>
      </c>
      <c r="AU561">
        <v>10</v>
      </c>
      <c r="AV561">
        <v>1</v>
      </c>
      <c r="AW561">
        <v>1</v>
      </c>
      <c r="AZ561">
        <v>1</v>
      </c>
      <c r="BA561">
        <v>1</v>
      </c>
      <c r="BB561">
        <v>1</v>
      </c>
      <c r="BC561">
        <v>1</v>
      </c>
      <c r="BD561" t="s">
        <v>3</v>
      </c>
      <c r="BE561" t="s">
        <v>3</v>
      </c>
      <c r="BF561" t="s">
        <v>3</v>
      </c>
      <c r="BG561" t="s">
        <v>3</v>
      </c>
      <c r="BH561">
        <v>0</v>
      </c>
      <c r="BI561">
        <v>4</v>
      </c>
      <c r="BJ561" t="s">
        <v>435</v>
      </c>
      <c r="BM561">
        <v>0</v>
      </c>
      <c r="BN561">
        <v>0</v>
      </c>
      <c r="BO561" t="s">
        <v>3</v>
      </c>
      <c r="BP561">
        <v>0</v>
      </c>
      <c r="BQ561">
        <v>1</v>
      </c>
      <c r="BR561">
        <v>0</v>
      </c>
      <c r="BS561">
        <v>1</v>
      </c>
      <c r="BT561">
        <v>1</v>
      </c>
      <c r="BU561">
        <v>1</v>
      </c>
      <c r="BV561">
        <v>1</v>
      </c>
      <c r="BW561">
        <v>1</v>
      </c>
      <c r="BX561">
        <v>1</v>
      </c>
      <c r="BY561" t="s">
        <v>3</v>
      </c>
      <c r="BZ561">
        <v>70</v>
      </c>
      <c r="CA561">
        <v>10</v>
      </c>
      <c r="CB561" t="s">
        <v>3</v>
      </c>
      <c r="CE561">
        <v>0</v>
      </c>
      <c r="CF561">
        <v>0</v>
      </c>
      <c r="CG561">
        <v>0</v>
      </c>
      <c r="CM561">
        <v>0</v>
      </c>
      <c r="CN561" t="s">
        <v>3</v>
      </c>
      <c r="CO561">
        <v>0</v>
      </c>
      <c r="CP561">
        <f>(P561+Q561+S561)</f>
        <v>1530050.22</v>
      </c>
      <c r="CQ561">
        <f>(AC561*BC561*AW561)</f>
        <v>3.91</v>
      </c>
      <c r="CR561">
        <f>((((ET561)*BB561-(EU561)*BS561)+AE561*BS561)*AV561)</f>
        <v>5086.25</v>
      </c>
      <c r="CS561">
        <f>(AE561*BS561*AV561)</f>
        <v>2683.78</v>
      </c>
      <c r="CT561">
        <f>(AF561*BA561*AV561)</f>
        <v>5927.7</v>
      </c>
      <c r="CU561">
        <f>AG561</f>
        <v>0</v>
      </c>
      <c r="CV561">
        <f>(AH561*AV561)</f>
        <v>13.13</v>
      </c>
      <c r="CW561">
        <f>AI561</f>
        <v>0</v>
      </c>
      <c r="CX561">
        <f>AJ561</f>
        <v>0</v>
      </c>
      <c r="CY561">
        <f>((S561*BZ561)/100)</f>
        <v>576225.79</v>
      </c>
      <c r="CZ561">
        <f>((S561*CA561)/100)</f>
        <v>82317.97</v>
      </c>
      <c r="DC561" t="s">
        <v>3</v>
      </c>
      <c r="DD561" t="s">
        <v>3</v>
      </c>
      <c r="DE561" t="s">
        <v>3</v>
      </c>
      <c r="DF561" t="s">
        <v>3</v>
      </c>
      <c r="DG561" t="s">
        <v>3</v>
      </c>
      <c r="DH561" t="s">
        <v>3</v>
      </c>
      <c r="DI561" t="s">
        <v>3</v>
      </c>
      <c r="DJ561" t="s">
        <v>3</v>
      </c>
      <c r="DK561" t="s">
        <v>3</v>
      </c>
      <c r="DL561" t="s">
        <v>3</v>
      </c>
      <c r="DM561" t="s">
        <v>3</v>
      </c>
      <c r="DN561">
        <v>0</v>
      </c>
      <c r="DO561">
        <v>0</v>
      </c>
      <c r="DP561">
        <v>1</v>
      </c>
      <c r="DQ561">
        <v>1</v>
      </c>
      <c r="DU561">
        <v>1005</v>
      </c>
      <c r="DV561" t="s">
        <v>434</v>
      </c>
      <c r="DW561" t="s">
        <v>434</v>
      </c>
      <c r="DX561">
        <v>100</v>
      </c>
      <c r="DZ561" t="s">
        <v>3</v>
      </c>
      <c r="EA561" t="s">
        <v>3</v>
      </c>
      <c r="EB561" t="s">
        <v>3</v>
      </c>
      <c r="EC561" t="s">
        <v>3</v>
      </c>
      <c r="EE561">
        <v>1364533919</v>
      </c>
      <c r="EF561">
        <v>1</v>
      </c>
      <c r="EG561" t="s">
        <v>21</v>
      </c>
      <c r="EH561">
        <v>0</v>
      </c>
      <c r="EI561" t="s">
        <v>3</v>
      </c>
      <c r="EJ561">
        <v>4</v>
      </c>
      <c r="EK561">
        <v>0</v>
      </c>
      <c r="EL561" t="s">
        <v>22</v>
      </c>
      <c r="EM561" t="s">
        <v>23</v>
      </c>
      <c r="EO561" t="s">
        <v>3</v>
      </c>
      <c r="EQ561">
        <v>1311744</v>
      </c>
      <c r="ER561">
        <v>11017.86</v>
      </c>
      <c r="ES561">
        <v>3.91</v>
      </c>
      <c r="ET561">
        <v>5086.25</v>
      </c>
      <c r="EU561">
        <v>2683.78</v>
      </c>
      <c r="EV561">
        <v>5927.7</v>
      </c>
      <c r="EW561">
        <v>13.13</v>
      </c>
      <c r="EX561">
        <v>0</v>
      </c>
      <c r="EY561">
        <v>0</v>
      </c>
      <c r="FQ561">
        <v>0</v>
      </c>
      <c r="FR561">
        <f>ROUND(IF(BI561=3,GM561,0),2)</f>
        <v>0</v>
      </c>
      <c r="FS561">
        <v>0</v>
      </c>
      <c r="FX561">
        <v>70</v>
      </c>
      <c r="FY561">
        <v>10</v>
      </c>
      <c r="GA561" t="s">
        <v>3</v>
      </c>
      <c r="GD561">
        <v>0</v>
      </c>
      <c r="GF561">
        <v>2017676244</v>
      </c>
      <c r="GG561">
        <v>2</v>
      </c>
      <c r="GH561">
        <v>1</v>
      </c>
      <c r="GI561">
        <v>-2</v>
      </c>
      <c r="GJ561">
        <v>0</v>
      </c>
      <c r="GK561">
        <f>ROUND(R561*(R12)/100,2)</f>
        <v>402512.25</v>
      </c>
      <c r="GL561">
        <f>ROUND(IF(AND(BH561=3,BI561=3,FS561&lt;&gt;0),P561,0),2)</f>
        <v>0</v>
      </c>
      <c r="GM561">
        <f>ROUND(O561+X561+Y561+GK561,2)+GX561</f>
        <v>2591106.23</v>
      </c>
      <c r="GN561">
        <f>IF(OR(BI561=0,BI561=1),ROUND(O561+X561+Y561+GK561,2),0)</f>
        <v>0</v>
      </c>
      <c r="GO561">
        <f>IF(BI561=2,ROUND(O561+X561+Y561+GK561,2),0)</f>
        <v>0</v>
      </c>
      <c r="GP561">
        <f>IF(BI561=4,ROUND(O561+X561+Y561+GK561,2)+GX561,0)</f>
        <v>2591106.23</v>
      </c>
      <c r="GR561">
        <v>0</v>
      </c>
      <c r="GS561">
        <v>3</v>
      </c>
      <c r="GT561">
        <v>0</v>
      </c>
      <c r="GU561" t="s">
        <v>3</v>
      </c>
      <c r="GV561">
        <f>ROUND((GT561),6)</f>
        <v>0</v>
      </c>
      <c r="GW561">
        <v>1</v>
      </c>
      <c r="GX561">
        <f>ROUND(HC561*I561,2)</f>
        <v>0</v>
      </c>
      <c r="HA561">
        <v>0</v>
      </c>
      <c r="HB561">
        <v>0</v>
      </c>
      <c r="HC561">
        <f>GV561*GW561</f>
        <v>0</v>
      </c>
      <c r="HE561" t="s">
        <v>3</v>
      </c>
      <c r="HF561" t="s">
        <v>3</v>
      </c>
      <c r="HM561" t="s">
        <v>3</v>
      </c>
      <c r="HN561" t="s">
        <v>3</v>
      </c>
      <c r="HO561" t="s">
        <v>3</v>
      </c>
      <c r="HP561" t="s">
        <v>3</v>
      </c>
      <c r="HQ561" t="s">
        <v>3</v>
      </c>
      <c r="IK561">
        <v>0</v>
      </c>
    </row>
    <row r="562" spans="1:245" x14ac:dyDescent="0.2">
      <c r="A562">
        <v>17</v>
      </c>
      <c r="B562">
        <v>1</v>
      </c>
      <c r="D562">
        <f>ROW(EtalonRes!A309)</f>
        <v>309</v>
      </c>
      <c r="E562" t="s">
        <v>3</v>
      </c>
      <c r="F562" t="s">
        <v>436</v>
      </c>
      <c r="G562" t="s">
        <v>437</v>
      </c>
      <c r="H562" t="s">
        <v>434</v>
      </c>
      <c r="I562">
        <f>ROUND(13887/100,9)</f>
        <v>138.87</v>
      </c>
      <c r="J562">
        <v>0</v>
      </c>
      <c r="K562">
        <f>ROUND(13887/100,9)</f>
        <v>138.87</v>
      </c>
      <c r="O562">
        <f>ROUND(CP562,2)</f>
        <v>242024.03</v>
      </c>
      <c r="P562">
        <f>ROUND(CQ562*I562,2)</f>
        <v>2262.19</v>
      </c>
      <c r="Q562">
        <f>ROUND(CR562*I562,2)</f>
        <v>108033.92</v>
      </c>
      <c r="R562">
        <f>ROUND(CS562*I562,2)</f>
        <v>58385.11</v>
      </c>
      <c r="S562">
        <f>ROUND(CT562*I562,2)</f>
        <v>131727.92000000001</v>
      </c>
      <c r="T562">
        <f>ROUND(CU562*I562,2)</f>
        <v>0</v>
      </c>
      <c r="U562">
        <f>CV562*I562</f>
        <v>291.62700000000001</v>
      </c>
      <c r="V562">
        <f>CW562*I562</f>
        <v>0</v>
      </c>
      <c r="W562">
        <f>ROUND(CX562*I562,2)</f>
        <v>0</v>
      </c>
      <c r="X562">
        <f>ROUND(CY562,2)</f>
        <v>92209.54</v>
      </c>
      <c r="Y562">
        <f>ROUND(CZ562,2)</f>
        <v>13172.79</v>
      </c>
      <c r="AA562">
        <v>-1</v>
      </c>
      <c r="AB562">
        <f>ROUND((AC562+AD562+AF562),6)</f>
        <v>1742.81</v>
      </c>
      <c r="AC562">
        <f>ROUND((ES562),6)</f>
        <v>16.29</v>
      </c>
      <c r="AD562">
        <f>ROUND((((ET562)-(EU562))+AE562),6)</f>
        <v>777.95</v>
      </c>
      <c r="AE562">
        <f>ROUND((EU562),6)</f>
        <v>420.43</v>
      </c>
      <c r="AF562">
        <f>ROUND((EV562),6)</f>
        <v>948.57</v>
      </c>
      <c r="AG562">
        <f>ROUND((AP562),6)</f>
        <v>0</v>
      </c>
      <c r="AH562">
        <f>(EW562)</f>
        <v>2.1</v>
      </c>
      <c r="AI562">
        <f>(EX562)</f>
        <v>0</v>
      </c>
      <c r="AJ562">
        <f>(AS562)</f>
        <v>0</v>
      </c>
      <c r="AK562">
        <v>1742.81</v>
      </c>
      <c r="AL562">
        <v>16.29</v>
      </c>
      <c r="AM562">
        <v>777.95</v>
      </c>
      <c r="AN562">
        <v>420.43</v>
      </c>
      <c r="AO562">
        <v>948.57</v>
      </c>
      <c r="AP562">
        <v>0</v>
      </c>
      <c r="AQ562">
        <v>2.1</v>
      </c>
      <c r="AR562">
        <v>0</v>
      </c>
      <c r="AS562">
        <v>0</v>
      </c>
      <c r="AT562">
        <v>70</v>
      </c>
      <c r="AU562">
        <v>10</v>
      </c>
      <c r="AV562">
        <v>1</v>
      </c>
      <c r="AW562">
        <v>1</v>
      </c>
      <c r="AZ562">
        <v>1</v>
      </c>
      <c r="BA562">
        <v>1</v>
      </c>
      <c r="BB562">
        <v>1</v>
      </c>
      <c r="BC562">
        <v>1</v>
      </c>
      <c r="BD562" t="s">
        <v>3</v>
      </c>
      <c r="BE562" t="s">
        <v>3</v>
      </c>
      <c r="BF562" t="s">
        <v>3</v>
      </c>
      <c r="BG562" t="s">
        <v>3</v>
      </c>
      <c r="BH562">
        <v>0</v>
      </c>
      <c r="BI562">
        <v>4</v>
      </c>
      <c r="BJ562" t="s">
        <v>438</v>
      </c>
      <c r="BM562">
        <v>0</v>
      </c>
      <c r="BN562">
        <v>0</v>
      </c>
      <c r="BO562" t="s">
        <v>3</v>
      </c>
      <c r="BP562">
        <v>0</v>
      </c>
      <c r="BQ562">
        <v>1</v>
      </c>
      <c r="BR562">
        <v>0</v>
      </c>
      <c r="BS562">
        <v>1</v>
      </c>
      <c r="BT562">
        <v>1</v>
      </c>
      <c r="BU562">
        <v>1</v>
      </c>
      <c r="BV562">
        <v>1</v>
      </c>
      <c r="BW562">
        <v>1</v>
      </c>
      <c r="BX562">
        <v>1</v>
      </c>
      <c r="BY562" t="s">
        <v>3</v>
      </c>
      <c r="BZ562">
        <v>70</v>
      </c>
      <c r="CA562">
        <v>10</v>
      </c>
      <c r="CB562" t="s">
        <v>3</v>
      </c>
      <c r="CE562">
        <v>0</v>
      </c>
      <c r="CF562">
        <v>0</v>
      </c>
      <c r="CG562">
        <v>0</v>
      </c>
      <c r="CM562">
        <v>0</v>
      </c>
      <c r="CN562" t="s">
        <v>3</v>
      </c>
      <c r="CO562">
        <v>0</v>
      </c>
      <c r="CP562">
        <f>(P562+Q562+S562)</f>
        <v>242024.03000000003</v>
      </c>
      <c r="CQ562">
        <f>(AC562*BC562*AW562)</f>
        <v>16.29</v>
      </c>
      <c r="CR562">
        <f>((((ET562)*BB562-(EU562)*BS562)+AE562*BS562)*AV562)</f>
        <v>777.95</v>
      </c>
      <c r="CS562">
        <f>(AE562*BS562*AV562)</f>
        <v>420.43</v>
      </c>
      <c r="CT562">
        <f>(AF562*BA562*AV562)</f>
        <v>948.57</v>
      </c>
      <c r="CU562">
        <f>AG562</f>
        <v>0</v>
      </c>
      <c r="CV562">
        <f>(AH562*AV562)</f>
        <v>2.1</v>
      </c>
      <c r="CW562">
        <f>AI562</f>
        <v>0</v>
      </c>
      <c r="CX562">
        <f>AJ562</f>
        <v>0</v>
      </c>
      <c r="CY562">
        <f>((S562*BZ562)/100)</f>
        <v>92209.544000000009</v>
      </c>
      <c r="CZ562">
        <f>((S562*CA562)/100)</f>
        <v>13172.792000000001</v>
      </c>
      <c r="DC562" t="s">
        <v>3</v>
      </c>
      <c r="DD562" t="s">
        <v>3</v>
      </c>
      <c r="DE562" t="s">
        <v>3</v>
      </c>
      <c r="DF562" t="s">
        <v>3</v>
      </c>
      <c r="DG562" t="s">
        <v>3</v>
      </c>
      <c r="DH562" t="s">
        <v>3</v>
      </c>
      <c r="DI562" t="s">
        <v>3</v>
      </c>
      <c r="DJ562" t="s">
        <v>3</v>
      </c>
      <c r="DK562" t="s">
        <v>3</v>
      </c>
      <c r="DL562" t="s">
        <v>3</v>
      </c>
      <c r="DM562" t="s">
        <v>3</v>
      </c>
      <c r="DN562">
        <v>0</v>
      </c>
      <c r="DO562">
        <v>0</v>
      </c>
      <c r="DP562">
        <v>1</v>
      </c>
      <c r="DQ562">
        <v>1</v>
      </c>
      <c r="DU562">
        <v>1005</v>
      </c>
      <c r="DV562" t="s">
        <v>434</v>
      </c>
      <c r="DW562" t="s">
        <v>434</v>
      </c>
      <c r="DX562">
        <v>100</v>
      </c>
      <c r="DZ562" t="s">
        <v>3</v>
      </c>
      <c r="EA562" t="s">
        <v>3</v>
      </c>
      <c r="EB562" t="s">
        <v>3</v>
      </c>
      <c r="EC562" t="s">
        <v>3</v>
      </c>
      <c r="EE562">
        <v>1364533919</v>
      </c>
      <c r="EF562">
        <v>1</v>
      </c>
      <c r="EG562" t="s">
        <v>21</v>
      </c>
      <c r="EH562">
        <v>0</v>
      </c>
      <c r="EI562" t="s">
        <v>3</v>
      </c>
      <c r="EJ562">
        <v>4</v>
      </c>
      <c r="EK562">
        <v>0</v>
      </c>
      <c r="EL562" t="s">
        <v>22</v>
      </c>
      <c r="EM562" t="s">
        <v>23</v>
      </c>
      <c r="EO562" t="s">
        <v>3</v>
      </c>
      <c r="EQ562">
        <v>1311744</v>
      </c>
      <c r="ER562">
        <v>1742.81</v>
      </c>
      <c r="ES562">
        <v>16.29</v>
      </c>
      <c r="ET562">
        <v>777.95</v>
      </c>
      <c r="EU562">
        <v>420.43</v>
      </c>
      <c r="EV562">
        <v>948.57</v>
      </c>
      <c r="EW562">
        <v>2.1</v>
      </c>
      <c r="EX562">
        <v>0</v>
      </c>
      <c r="EY562">
        <v>0</v>
      </c>
      <c r="FQ562">
        <v>0</v>
      </c>
      <c r="FR562">
        <f>ROUND(IF(BI562=3,GM562,0),2)</f>
        <v>0</v>
      </c>
      <c r="FS562">
        <v>0</v>
      </c>
      <c r="FX562">
        <v>70</v>
      </c>
      <c r="FY562">
        <v>10</v>
      </c>
      <c r="GA562" t="s">
        <v>3</v>
      </c>
      <c r="GD562">
        <v>0</v>
      </c>
      <c r="GF562">
        <v>-1586600773</v>
      </c>
      <c r="GG562">
        <v>2</v>
      </c>
      <c r="GH562">
        <v>1</v>
      </c>
      <c r="GI562">
        <v>-2</v>
      </c>
      <c r="GJ562">
        <v>0</v>
      </c>
      <c r="GK562">
        <f>ROUND(R562*(R12)/100,2)</f>
        <v>63055.92</v>
      </c>
      <c r="GL562">
        <f>ROUND(IF(AND(BH562=3,BI562=3,FS562&lt;&gt;0),P562,0),2)</f>
        <v>0</v>
      </c>
      <c r="GM562">
        <f>ROUND(O562+X562+Y562+GK562,2)+GX562</f>
        <v>410462.28</v>
      </c>
      <c r="GN562">
        <f>IF(OR(BI562=0,BI562=1),ROUND(O562+X562+Y562+GK562,2),0)</f>
        <v>0</v>
      </c>
      <c r="GO562">
        <f>IF(BI562=2,ROUND(O562+X562+Y562+GK562,2),0)</f>
        <v>0</v>
      </c>
      <c r="GP562">
        <f>IF(BI562=4,ROUND(O562+X562+Y562+GK562,2)+GX562,0)</f>
        <v>410462.28</v>
      </c>
      <c r="GR562">
        <v>0</v>
      </c>
      <c r="GS562">
        <v>3</v>
      </c>
      <c r="GT562">
        <v>0</v>
      </c>
      <c r="GU562" t="s">
        <v>3</v>
      </c>
      <c r="GV562">
        <f>ROUND((GT562),6)</f>
        <v>0</v>
      </c>
      <c r="GW562">
        <v>1</v>
      </c>
      <c r="GX562">
        <f>ROUND(HC562*I562,2)</f>
        <v>0</v>
      </c>
      <c r="HA562">
        <v>0</v>
      </c>
      <c r="HB562">
        <v>0</v>
      </c>
      <c r="HC562">
        <f>GV562*GW562</f>
        <v>0</v>
      </c>
      <c r="HE562" t="s">
        <v>3</v>
      </c>
      <c r="HF562" t="s">
        <v>3</v>
      </c>
      <c r="HM562" t="s">
        <v>3</v>
      </c>
      <c r="HN562" t="s">
        <v>3</v>
      </c>
      <c r="HO562" t="s">
        <v>3</v>
      </c>
      <c r="HP562" t="s">
        <v>3</v>
      </c>
      <c r="HQ562" t="s">
        <v>3</v>
      </c>
      <c r="IK562">
        <v>0</v>
      </c>
    </row>
    <row r="564" spans="1:245" x14ac:dyDescent="0.2">
      <c r="A564" s="2">
        <v>51</v>
      </c>
      <c r="B564" s="2">
        <f>B557</f>
        <v>1</v>
      </c>
      <c r="C564" s="2">
        <f>A557</f>
        <v>5</v>
      </c>
      <c r="D564" s="2">
        <f>ROW(A557)</f>
        <v>557</v>
      </c>
      <c r="E564" s="2"/>
      <c r="F564" s="2" t="str">
        <f>IF(F557&lt;&gt;"",F557,"")</f>
        <v>Новый подраздел</v>
      </c>
      <c r="G564" s="2" t="str">
        <f>IF(G557&lt;&gt;"",G557,"")</f>
        <v>Очистка и дезинфекция воздуховодов</v>
      </c>
      <c r="H564" s="2">
        <v>0</v>
      </c>
      <c r="I564" s="2"/>
      <c r="J564" s="2"/>
      <c r="K564" s="2"/>
      <c r="L564" s="2"/>
      <c r="M564" s="2"/>
      <c r="N564" s="2"/>
      <c r="O564" s="2">
        <f t="shared" ref="O564:T564" si="447">ROUND(AB564,2)</f>
        <v>0</v>
      </c>
      <c r="P564" s="2">
        <f t="shared" si="447"/>
        <v>0</v>
      </c>
      <c r="Q564" s="2">
        <f t="shared" si="447"/>
        <v>0</v>
      </c>
      <c r="R564" s="2">
        <f t="shared" si="447"/>
        <v>0</v>
      </c>
      <c r="S564" s="2">
        <f t="shared" si="447"/>
        <v>0</v>
      </c>
      <c r="T564" s="2">
        <f t="shared" si="447"/>
        <v>0</v>
      </c>
      <c r="U564" s="2">
        <f>AH564</f>
        <v>0</v>
      </c>
      <c r="V564" s="2">
        <f>AI564</f>
        <v>0</v>
      </c>
      <c r="W564" s="2">
        <f>ROUND(AJ564,2)</f>
        <v>0</v>
      </c>
      <c r="X564" s="2">
        <f>ROUND(AK564,2)</f>
        <v>0</v>
      </c>
      <c r="Y564" s="2">
        <f>ROUND(AL564,2)</f>
        <v>0</v>
      </c>
      <c r="Z564" s="2"/>
      <c r="AA564" s="2"/>
      <c r="AB564" s="2">
        <f>ROUND(SUMIF(AA561:AA562,"=1407491423",O561:O562),2)</f>
        <v>0</v>
      </c>
      <c r="AC564" s="2">
        <f>ROUND(SUMIF(AA561:AA562,"=1407491423",P561:P562),2)</f>
        <v>0</v>
      </c>
      <c r="AD564" s="2">
        <f>ROUND(SUMIF(AA561:AA562,"=1407491423",Q561:Q562),2)</f>
        <v>0</v>
      </c>
      <c r="AE564" s="2">
        <f>ROUND(SUMIF(AA561:AA562,"=1407491423",R561:R562),2)</f>
        <v>0</v>
      </c>
      <c r="AF564" s="2">
        <f>ROUND(SUMIF(AA561:AA562,"=1407491423",S561:S562),2)</f>
        <v>0</v>
      </c>
      <c r="AG564" s="2">
        <f>ROUND(SUMIF(AA561:AA562,"=1407491423",T561:T562),2)</f>
        <v>0</v>
      </c>
      <c r="AH564" s="2">
        <f>SUMIF(AA561:AA562,"=1407491423",U561:U562)</f>
        <v>0</v>
      </c>
      <c r="AI564" s="2">
        <f>SUMIF(AA561:AA562,"=1407491423",V561:V562)</f>
        <v>0</v>
      </c>
      <c r="AJ564" s="2">
        <f>ROUND(SUMIF(AA561:AA562,"=1407491423",W561:W562),2)</f>
        <v>0</v>
      </c>
      <c r="AK564" s="2">
        <f>ROUND(SUMIF(AA561:AA562,"=1407491423",X561:X562),2)</f>
        <v>0</v>
      </c>
      <c r="AL564" s="2">
        <f>ROUND(SUMIF(AA561:AA562,"=1407491423",Y561:Y562),2)</f>
        <v>0</v>
      </c>
      <c r="AM564" s="2"/>
      <c r="AN564" s="2"/>
      <c r="AO564" s="2">
        <f t="shared" ref="AO564:BD564" si="448">ROUND(BX564,2)</f>
        <v>0</v>
      </c>
      <c r="AP564" s="2">
        <f t="shared" si="448"/>
        <v>0</v>
      </c>
      <c r="AQ564" s="2">
        <f t="shared" si="448"/>
        <v>0</v>
      </c>
      <c r="AR564" s="2">
        <f t="shared" si="448"/>
        <v>0</v>
      </c>
      <c r="AS564" s="2">
        <f t="shared" si="448"/>
        <v>0</v>
      </c>
      <c r="AT564" s="2">
        <f t="shared" si="448"/>
        <v>0</v>
      </c>
      <c r="AU564" s="2">
        <f t="shared" si="448"/>
        <v>0</v>
      </c>
      <c r="AV564" s="2">
        <f t="shared" si="448"/>
        <v>0</v>
      </c>
      <c r="AW564" s="2">
        <f t="shared" si="448"/>
        <v>0</v>
      </c>
      <c r="AX564" s="2">
        <f t="shared" si="448"/>
        <v>0</v>
      </c>
      <c r="AY564" s="2">
        <f t="shared" si="448"/>
        <v>0</v>
      </c>
      <c r="AZ564" s="2">
        <f t="shared" si="448"/>
        <v>0</v>
      </c>
      <c r="BA564" s="2">
        <f t="shared" si="448"/>
        <v>0</v>
      </c>
      <c r="BB564" s="2">
        <f t="shared" si="448"/>
        <v>0</v>
      </c>
      <c r="BC564" s="2">
        <f t="shared" si="448"/>
        <v>0</v>
      </c>
      <c r="BD564" s="2">
        <f t="shared" si="448"/>
        <v>0</v>
      </c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>
        <f>ROUND(SUMIF(AA561:AA562,"=1407491423",FQ561:FQ562),2)</f>
        <v>0</v>
      </c>
      <c r="BY564" s="2">
        <f>ROUND(SUMIF(AA561:AA562,"=1407491423",FR561:FR562),2)</f>
        <v>0</v>
      </c>
      <c r="BZ564" s="2">
        <f>ROUND(SUMIF(AA561:AA562,"=1407491423",GL561:GL562),2)</f>
        <v>0</v>
      </c>
      <c r="CA564" s="2">
        <f>ROUND(SUMIF(AA561:AA562,"=1407491423",GM561:GM562),2)</f>
        <v>0</v>
      </c>
      <c r="CB564" s="2">
        <f>ROUND(SUMIF(AA561:AA562,"=1407491423",GN561:GN562),2)</f>
        <v>0</v>
      </c>
      <c r="CC564" s="2">
        <f>ROUND(SUMIF(AA561:AA562,"=1407491423",GO561:GO562),2)</f>
        <v>0</v>
      </c>
      <c r="CD564" s="2">
        <f>ROUND(SUMIF(AA561:AA562,"=1407491423",GP561:GP562),2)</f>
        <v>0</v>
      </c>
      <c r="CE564" s="2">
        <f>AC564-BX564</f>
        <v>0</v>
      </c>
      <c r="CF564" s="2">
        <f>AC564-BY564</f>
        <v>0</v>
      </c>
      <c r="CG564" s="2">
        <f>BX564-BZ564</f>
        <v>0</v>
      </c>
      <c r="CH564" s="2">
        <f>AC564-BX564-BY564+BZ564</f>
        <v>0</v>
      </c>
      <c r="CI564" s="2">
        <f>BY564-BZ564</f>
        <v>0</v>
      </c>
      <c r="CJ564" s="2">
        <f>ROUND(SUMIF(AA561:AA562,"=1407491423",GX561:GX562),2)</f>
        <v>0</v>
      </c>
      <c r="CK564" s="2">
        <f>ROUND(SUMIF(AA561:AA562,"=1407491423",GY561:GY562),2)</f>
        <v>0</v>
      </c>
      <c r="CL564" s="2">
        <f>ROUND(SUMIF(AA561:AA562,"=1407491423",GZ561:GZ562),2)</f>
        <v>0</v>
      </c>
      <c r="CM564" s="2">
        <f>ROUND(SUMIF(AA561:AA562,"=1407491423",HD561:HD562),2)</f>
        <v>0</v>
      </c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3"/>
      <c r="DH564" s="3"/>
      <c r="DI564" s="3"/>
      <c r="DJ564" s="3"/>
      <c r="DK564" s="3"/>
      <c r="DL564" s="3"/>
      <c r="DM564" s="3"/>
      <c r="DN564" s="3"/>
      <c r="DO564" s="3"/>
      <c r="DP564" s="3"/>
      <c r="DQ564" s="3"/>
      <c r="DR564" s="3"/>
      <c r="DS564" s="3"/>
      <c r="DT564" s="3"/>
      <c r="DU564" s="3"/>
      <c r="DV564" s="3"/>
      <c r="DW564" s="3"/>
      <c r="DX564" s="3"/>
      <c r="DY564" s="3"/>
      <c r="DZ564" s="3"/>
      <c r="EA564" s="3"/>
      <c r="EB564" s="3"/>
      <c r="EC564" s="3"/>
      <c r="ED564" s="3"/>
      <c r="EE564" s="3"/>
      <c r="EF564" s="3"/>
      <c r="EG564" s="3"/>
      <c r="EH564" s="3"/>
      <c r="EI564" s="3"/>
      <c r="EJ564" s="3"/>
      <c r="EK564" s="3"/>
      <c r="EL564" s="3"/>
      <c r="EM564" s="3"/>
      <c r="EN564" s="3"/>
      <c r="EO564" s="3"/>
      <c r="EP564" s="3"/>
      <c r="EQ564" s="3"/>
      <c r="ER564" s="3"/>
      <c r="ES564" s="3"/>
      <c r="ET564" s="3"/>
      <c r="EU564" s="3"/>
      <c r="EV564" s="3"/>
      <c r="EW564" s="3"/>
      <c r="EX564" s="3"/>
      <c r="EY564" s="3"/>
      <c r="EZ564" s="3"/>
      <c r="FA564" s="3"/>
      <c r="FB564" s="3"/>
      <c r="FC564" s="3"/>
      <c r="FD564" s="3"/>
      <c r="FE564" s="3"/>
      <c r="FF564" s="3"/>
      <c r="FG564" s="3"/>
      <c r="FH564" s="3"/>
      <c r="FI564" s="3"/>
      <c r="FJ564" s="3"/>
      <c r="FK564" s="3"/>
      <c r="FL564" s="3"/>
      <c r="FM564" s="3"/>
      <c r="FN564" s="3"/>
      <c r="FO564" s="3"/>
      <c r="FP564" s="3"/>
      <c r="FQ564" s="3"/>
      <c r="FR564" s="3"/>
      <c r="FS564" s="3"/>
      <c r="FT564" s="3"/>
      <c r="FU564" s="3"/>
      <c r="FV564" s="3"/>
      <c r="FW564" s="3"/>
      <c r="FX564" s="3"/>
      <c r="FY564" s="3"/>
      <c r="FZ564" s="3"/>
      <c r="GA564" s="3"/>
      <c r="GB564" s="3"/>
      <c r="GC564" s="3"/>
      <c r="GD564" s="3"/>
      <c r="GE564" s="3"/>
      <c r="GF564" s="3"/>
      <c r="GG564" s="3"/>
      <c r="GH564" s="3"/>
      <c r="GI564" s="3"/>
      <c r="GJ564" s="3"/>
      <c r="GK564" s="3"/>
      <c r="GL564" s="3"/>
      <c r="GM564" s="3"/>
      <c r="GN564" s="3"/>
      <c r="GO564" s="3"/>
      <c r="GP564" s="3"/>
      <c r="GQ564" s="3"/>
      <c r="GR564" s="3"/>
      <c r="GS564" s="3"/>
      <c r="GT564" s="3"/>
      <c r="GU564" s="3"/>
      <c r="GV564" s="3"/>
      <c r="GW564" s="3"/>
      <c r="GX564" s="3">
        <v>0</v>
      </c>
    </row>
    <row r="566" spans="1:245" x14ac:dyDescent="0.2">
      <c r="A566" s="4">
        <v>50</v>
      </c>
      <c r="B566" s="4">
        <v>0</v>
      </c>
      <c r="C566" s="4">
        <v>0</v>
      </c>
      <c r="D566" s="4">
        <v>1</v>
      </c>
      <c r="E566" s="4">
        <v>201</v>
      </c>
      <c r="F566" s="4">
        <f>ROUND(Source!O564,O566)</f>
        <v>0</v>
      </c>
      <c r="G566" s="4" t="s">
        <v>74</v>
      </c>
      <c r="H566" s="4" t="s">
        <v>75</v>
      </c>
      <c r="I566" s="4"/>
      <c r="J566" s="4"/>
      <c r="K566" s="4">
        <v>201</v>
      </c>
      <c r="L566" s="4">
        <v>1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0</v>
      </c>
      <c r="X566" s="4">
        <v>1</v>
      </c>
      <c r="Y566" s="4">
        <v>0</v>
      </c>
      <c r="Z566" s="4"/>
      <c r="AA566" s="4"/>
      <c r="AB566" s="4"/>
    </row>
    <row r="567" spans="1:245" x14ac:dyDescent="0.2">
      <c r="A567" s="4">
        <v>50</v>
      </c>
      <c r="B567" s="4">
        <v>0</v>
      </c>
      <c r="C567" s="4">
        <v>0</v>
      </c>
      <c r="D567" s="4">
        <v>1</v>
      </c>
      <c r="E567" s="4">
        <v>202</v>
      </c>
      <c r="F567" s="4">
        <f>ROUND(Source!P564,O567)</f>
        <v>0</v>
      </c>
      <c r="G567" s="4" t="s">
        <v>76</v>
      </c>
      <c r="H567" s="4" t="s">
        <v>77</v>
      </c>
      <c r="I567" s="4"/>
      <c r="J567" s="4"/>
      <c r="K567" s="4">
        <v>202</v>
      </c>
      <c r="L567" s="4">
        <v>2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45" x14ac:dyDescent="0.2">
      <c r="A568" s="4">
        <v>50</v>
      </c>
      <c r="B568" s="4">
        <v>0</v>
      </c>
      <c r="C568" s="4">
        <v>0</v>
      </c>
      <c r="D568" s="4">
        <v>1</v>
      </c>
      <c r="E568" s="4">
        <v>222</v>
      </c>
      <c r="F568" s="4">
        <f>ROUND(Source!AO564,O568)</f>
        <v>0</v>
      </c>
      <c r="G568" s="4" t="s">
        <v>78</v>
      </c>
      <c r="H568" s="4" t="s">
        <v>79</v>
      </c>
      <c r="I568" s="4"/>
      <c r="J568" s="4"/>
      <c r="K568" s="4">
        <v>222</v>
      </c>
      <c r="L568" s="4">
        <v>3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45" x14ac:dyDescent="0.2">
      <c r="A569" s="4">
        <v>50</v>
      </c>
      <c r="B569" s="4">
        <v>0</v>
      </c>
      <c r="C569" s="4">
        <v>0</v>
      </c>
      <c r="D569" s="4">
        <v>1</v>
      </c>
      <c r="E569" s="4">
        <v>225</v>
      </c>
      <c r="F569" s="4">
        <f>ROUND(Source!AV564,O569)</f>
        <v>0</v>
      </c>
      <c r="G569" s="4" t="s">
        <v>80</v>
      </c>
      <c r="H569" s="4" t="s">
        <v>81</v>
      </c>
      <c r="I569" s="4"/>
      <c r="J569" s="4"/>
      <c r="K569" s="4">
        <v>225</v>
      </c>
      <c r="L569" s="4">
        <v>4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45" x14ac:dyDescent="0.2">
      <c r="A570" s="4">
        <v>50</v>
      </c>
      <c r="B570" s="4">
        <v>0</v>
      </c>
      <c r="C570" s="4">
        <v>0</v>
      </c>
      <c r="D570" s="4">
        <v>1</v>
      </c>
      <c r="E570" s="4">
        <v>226</v>
      </c>
      <c r="F570" s="4">
        <f>ROUND(Source!AW564,O570)</f>
        <v>0</v>
      </c>
      <c r="G570" s="4" t="s">
        <v>82</v>
      </c>
      <c r="H570" s="4" t="s">
        <v>83</v>
      </c>
      <c r="I570" s="4"/>
      <c r="J570" s="4"/>
      <c r="K570" s="4">
        <v>226</v>
      </c>
      <c r="L570" s="4">
        <v>5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45" x14ac:dyDescent="0.2">
      <c r="A571" s="4">
        <v>50</v>
      </c>
      <c r="B571" s="4">
        <v>0</v>
      </c>
      <c r="C571" s="4">
        <v>0</v>
      </c>
      <c r="D571" s="4">
        <v>1</v>
      </c>
      <c r="E571" s="4">
        <v>227</v>
      </c>
      <c r="F571" s="4">
        <f>ROUND(Source!AX564,O571)</f>
        <v>0</v>
      </c>
      <c r="G571" s="4" t="s">
        <v>84</v>
      </c>
      <c r="H571" s="4" t="s">
        <v>85</v>
      </c>
      <c r="I571" s="4"/>
      <c r="J571" s="4"/>
      <c r="K571" s="4">
        <v>227</v>
      </c>
      <c r="L571" s="4">
        <v>6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45" x14ac:dyDescent="0.2">
      <c r="A572" s="4">
        <v>50</v>
      </c>
      <c r="B572" s="4">
        <v>0</v>
      </c>
      <c r="C572" s="4">
        <v>0</v>
      </c>
      <c r="D572" s="4">
        <v>1</v>
      </c>
      <c r="E572" s="4">
        <v>228</v>
      </c>
      <c r="F572" s="4">
        <f>ROUND(Source!AY564,O572)</f>
        <v>0</v>
      </c>
      <c r="G572" s="4" t="s">
        <v>86</v>
      </c>
      <c r="H572" s="4" t="s">
        <v>87</v>
      </c>
      <c r="I572" s="4"/>
      <c r="J572" s="4"/>
      <c r="K572" s="4">
        <v>228</v>
      </c>
      <c r="L572" s="4">
        <v>7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45" x14ac:dyDescent="0.2">
      <c r="A573" s="4">
        <v>50</v>
      </c>
      <c r="B573" s="4">
        <v>0</v>
      </c>
      <c r="C573" s="4">
        <v>0</v>
      </c>
      <c r="D573" s="4">
        <v>1</v>
      </c>
      <c r="E573" s="4">
        <v>216</v>
      </c>
      <c r="F573" s="4">
        <f>ROUND(Source!AP564,O573)</f>
        <v>0</v>
      </c>
      <c r="G573" s="4" t="s">
        <v>88</v>
      </c>
      <c r="H573" s="4" t="s">
        <v>89</v>
      </c>
      <c r="I573" s="4"/>
      <c r="J573" s="4"/>
      <c r="K573" s="4">
        <v>216</v>
      </c>
      <c r="L573" s="4">
        <v>8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223</v>
      </c>
      <c r="F574" s="4">
        <f>ROUND(Source!AQ564,O574)</f>
        <v>0</v>
      </c>
      <c r="G574" s="4" t="s">
        <v>90</v>
      </c>
      <c r="H574" s="4" t="s">
        <v>91</v>
      </c>
      <c r="I574" s="4"/>
      <c r="J574" s="4"/>
      <c r="K574" s="4">
        <v>223</v>
      </c>
      <c r="L574" s="4">
        <v>9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229</v>
      </c>
      <c r="F575" s="4">
        <f>ROUND(Source!AZ564,O575)</f>
        <v>0</v>
      </c>
      <c r="G575" s="4" t="s">
        <v>92</v>
      </c>
      <c r="H575" s="4" t="s">
        <v>93</v>
      </c>
      <c r="I575" s="4"/>
      <c r="J575" s="4"/>
      <c r="K575" s="4">
        <v>229</v>
      </c>
      <c r="L575" s="4">
        <v>10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203</v>
      </c>
      <c r="F576" s="4">
        <f>ROUND(Source!Q564,O576)</f>
        <v>0</v>
      </c>
      <c r="G576" s="4" t="s">
        <v>94</v>
      </c>
      <c r="H576" s="4" t="s">
        <v>95</v>
      </c>
      <c r="I576" s="4"/>
      <c r="J576" s="4"/>
      <c r="K576" s="4">
        <v>203</v>
      </c>
      <c r="L576" s="4">
        <v>11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231</v>
      </c>
      <c r="F577" s="4">
        <f>ROUND(Source!BB564,O577)</f>
        <v>0</v>
      </c>
      <c r="G577" s="4" t="s">
        <v>96</v>
      </c>
      <c r="H577" s="4" t="s">
        <v>97</v>
      </c>
      <c r="I577" s="4"/>
      <c r="J577" s="4"/>
      <c r="K577" s="4">
        <v>231</v>
      </c>
      <c r="L577" s="4">
        <v>12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204</v>
      </c>
      <c r="F578" s="4">
        <f>ROUND(Source!R564,O578)</f>
        <v>0</v>
      </c>
      <c r="G578" s="4" t="s">
        <v>98</v>
      </c>
      <c r="H578" s="4" t="s">
        <v>99</v>
      </c>
      <c r="I578" s="4"/>
      <c r="J578" s="4"/>
      <c r="K578" s="4">
        <v>204</v>
      </c>
      <c r="L578" s="4">
        <v>13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205</v>
      </c>
      <c r="F579" s="4">
        <f>ROUND(Source!S564,O579)</f>
        <v>0</v>
      </c>
      <c r="G579" s="4" t="s">
        <v>100</v>
      </c>
      <c r="H579" s="4" t="s">
        <v>101</v>
      </c>
      <c r="I579" s="4"/>
      <c r="J579" s="4"/>
      <c r="K579" s="4">
        <v>205</v>
      </c>
      <c r="L579" s="4">
        <v>14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232</v>
      </c>
      <c r="F580" s="4">
        <f>ROUND(Source!BC564,O580)</f>
        <v>0</v>
      </c>
      <c r="G580" s="4" t="s">
        <v>102</v>
      </c>
      <c r="H580" s="4" t="s">
        <v>103</v>
      </c>
      <c r="I580" s="4"/>
      <c r="J580" s="4"/>
      <c r="K580" s="4">
        <v>232</v>
      </c>
      <c r="L580" s="4">
        <v>15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214</v>
      </c>
      <c r="F581" s="4">
        <f>ROUND(Source!AS564,O581)</f>
        <v>0</v>
      </c>
      <c r="G581" s="4" t="s">
        <v>104</v>
      </c>
      <c r="H581" s="4" t="s">
        <v>105</v>
      </c>
      <c r="I581" s="4"/>
      <c r="J581" s="4"/>
      <c r="K581" s="4">
        <v>214</v>
      </c>
      <c r="L581" s="4">
        <v>16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215</v>
      </c>
      <c r="F582" s="4">
        <f>ROUND(Source!AT564,O582)</f>
        <v>0</v>
      </c>
      <c r="G582" s="4" t="s">
        <v>106</v>
      </c>
      <c r="H582" s="4" t="s">
        <v>107</v>
      </c>
      <c r="I582" s="4"/>
      <c r="J582" s="4"/>
      <c r="K582" s="4">
        <v>215</v>
      </c>
      <c r="L582" s="4">
        <v>17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217</v>
      </c>
      <c r="F583" s="4">
        <f>ROUND(Source!AU564,O583)</f>
        <v>0</v>
      </c>
      <c r="G583" s="4" t="s">
        <v>108</v>
      </c>
      <c r="H583" s="4" t="s">
        <v>109</v>
      </c>
      <c r="I583" s="4"/>
      <c r="J583" s="4"/>
      <c r="K583" s="4">
        <v>217</v>
      </c>
      <c r="L583" s="4">
        <v>18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230</v>
      </c>
      <c r="F584" s="4">
        <f>ROUND(Source!BA564,O584)</f>
        <v>0</v>
      </c>
      <c r="G584" s="4" t="s">
        <v>110</v>
      </c>
      <c r="H584" s="4" t="s">
        <v>111</v>
      </c>
      <c r="I584" s="4"/>
      <c r="J584" s="4"/>
      <c r="K584" s="4">
        <v>230</v>
      </c>
      <c r="L584" s="4">
        <v>19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206</v>
      </c>
      <c r="F585" s="4">
        <f>ROUND(Source!T564,O585)</f>
        <v>0</v>
      </c>
      <c r="G585" s="4" t="s">
        <v>112</v>
      </c>
      <c r="H585" s="4" t="s">
        <v>113</v>
      </c>
      <c r="I585" s="4"/>
      <c r="J585" s="4"/>
      <c r="K585" s="4">
        <v>206</v>
      </c>
      <c r="L585" s="4">
        <v>20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207</v>
      </c>
      <c r="F586" s="4">
        <f>Source!U564</f>
        <v>0</v>
      </c>
      <c r="G586" s="4" t="s">
        <v>114</v>
      </c>
      <c r="H586" s="4" t="s">
        <v>115</v>
      </c>
      <c r="I586" s="4"/>
      <c r="J586" s="4"/>
      <c r="K586" s="4">
        <v>207</v>
      </c>
      <c r="L586" s="4">
        <v>21</v>
      </c>
      <c r="M586" s="4">
        <v>3</v>
      </c>
      <c r="N586" s="4" t="s">
        <v>3</v>
      </c>
      <c r="O586" s="4">
        <v>-1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208</v>
      </c>
      <c r="F587" s="4">
        <f>Source!V564</f>
        <v>0</v>
      </c>
      <c r="G587" s="4" t="s">
        <v>116</v>
      </c>
      <c r="H587" s="4" t="s">
        <v>117</v>
      </c>
      <c r="I587" s="4"/>
      <c r="J587" s="4"/>
      <c r="K587" s="4">
        <v>208</v>
      </c>
      <c r="L587" s="4">
        <v>22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209</v>
      </c>
      <c r="F588" s="4">
        <f>ROUND(Source!W564,O588)</f>
        <v>0</v>
      </c>
      <c r="G588" s="4" t="s">
        <v>118</v>
      </c>
      <c r="H588" s="4" t="s">
        <v>119</v>
      </c>
      <c r="I588" s="4"/>
      <c r="J588" s="4"/>
      <c r="K588" s="4">
        <v>209</v>
      </c>
      <c r="L588" s="4">
        <v>23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233</v>
      </c>
      <c r="F589" s="4">
        <f>ROUND(Source!BD564,O589)</f>
        <v>0</v>
      </c>
      <c r="G589" s="4" t="s">
        <v>120</v>
      </c>
      <c r="H589" s="4" t="s">
        <v>121</v>
      </c>
      <c r="I589" s="4"/>
      <c r="J589" s="4"/>
      <c r="K589" s="4">
        <v>233</v>
      </c>
      <c r="L589" s="4">
        <v>24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210</v>
      </c>
      <c r="F590" s="4">
        <f>ROUND(Source!X564,O590)</f>
        <v>0</v>
      </c>
      <c r="G590" s="4" t="s">
        <v>122</v>
      </c>
      <c r="H590" s="4" t="s">
        <v>123</v>
      </c>
      <c r="I590" s="4"/>
      <c r="J590" s="4"/>
      <c r="K590" s="4">
        <v>210</v>
      </c>
      <c r="L590" s="4">
        <v>25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211</v>
      </c>
      <c r="F591" s="4">
        <f>ROUND(Source!Y564,O591)</f>
        <v>0</v>
      </c>
      <c r="G591" s="4" t="s">
        <v>124</v>
      </c>
      <c r="H591" s="4" t="s">
        <v>125</v>
      </c>
      <c r="I591" s="4"/>
      <c r="J591" s="4"/>
      <c r="K591" s="4">
        <v>211</v>
      </c>
      <c r="L591" s="4">
        <v>26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224</v>
      </c>
      <c r="F592" s="4">
        <f>ROUND(Source!AR564,O592)</f>
        <v>0</v>
      </c>
      <c r="G592" s="4" t="s">
        <v>126</v>
      </c>
      <c r="H592" s="4" t="s">
        <v>127</v>
      </c>
      <c r="I592" s="4"/>
      <c r="J592" s="4"/>
      <c r="K592" s="4">
        <v>224</v>
      </c>
      <c r="L592" s="4">
        <v>27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4" spans="1:206" x14ac:dyDescent="0.2">
      <c r="A594" s="2">
        <v>51</v>
      </c>
      <c r="B594" s="2">
        <f>B507</f>
        <v>1</v>
      </c>
      <c r="C594" s="2">
        <f>A507</f>
        <v>4</v>
      </c>
      <c r="D594" s="2">
        <f>ROW(A507)</f>
        <v>507</v>
      </c>
      <c r="E594" s="2"/>
      <c r="F594" s="2" t="str">
        <f>IF(F507&lt;&gt;"",F507,"")</f>
        <v>Новый раздел</v>
      </c>
      <c r="G594" s="2" t="str">
        <f>IF(G507&lt;&gt;"",G507,"")</f>
        <v>Вентиляция</v>
      </c>
      <c r="H594" s="2">
        <v>0</v>
      </c>
      <c r="I594" s="2"/>
      <c r="J594" s="2"/>
      <c r="K594" s="2"/>
      <c r="L594" s="2"/>
      <c r="M594" s="2"/>
      <c r="N594" s="2"/>
      <c r="O594" s="2">
        <f t="shared" ref="O594:T594" si="449">ROUND(O527+O564+AB594,2)</f>
        <v>76775.199999999997</v>
      </c>
      <c r="P594" s="2">
        <f t="shared" si="449"/>
        <v>216.48</v>
      </c>
      <c r="Q594" s="2">
        <f t="shared" si="449"/>
        <v>105.64</v>
      </c>
      <c r="R594" s="2">
        <f t="shared" si="449"/>
        <v>0.64</v>
      </c>
      <c r="S594" s="2">
        <f t="shared" si="449"/>
        <v>76453.08</v>
      </c>
      <c r="T594" s="2">
        <f t="shared" si="449"/>
        <v>0</v>
      </c>
      <c r="U594" s="2">
        <f>U527+U564+AH594</f>
        <v>134.12</v>
      </c>
      <c r="V594" s="2">
        <f>V527+V564+AI594</f>
        <v>0</v>
      </c>
      <c r="W594" s="2">
        <f>ROUND(W527+W564+AJ594,2)</f>
        <v>0</v>
      </c>
      <c r="X594" s="2">
        <f>ROUND(X527+X564+AK594,2)</f>
        <v>53517.15</v>
      </c>
      <c r="Y594" s="2">
        <f>ROUND(Y527+Y564+AL594,2)</f>
        <v>7645.31</v>
      </c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>
        <f t="shared" ref="AO594:BD594" si="450">ROUND(AO527+AO564+BX594,2)</f>
        <v>0</v>
      </c>
      <c r="AP594" s="2">
        <f t="shared" si="450"/>
        <v>0</v>
      </c>
      <c r="AQ594" s="2">
        <f t="shared" si="450"/>
        <v>0</v>
      </c>
      <c r="AR594" s="2">
        <f t="shared" si="450"/>
        <v>137938.35</v>
      </c>
      <c r="AS594" s="2">
        <f t="shared" si="450"/>
        <v>0</v>
      </c>
      <c r="AT594" s="2">
        <f t="shared" si="450"/>
        <v>0</v>
      </c>
      <c r="AU594" s="2">
        <f t="shared" si="450"/>
        <v>137938.35</v>
      </c>
      <c r="AV594" s="2">
        <f t="shared" si="450"/>
        <v>216.48</v>
      </c>
      <c r="AW594" s="2">
        <f t="shared" si="450"/>
        <v>216.48</v>
      </c>
      <c r="AX594" s="2">
        <f t="shared" si="450"/>
        <v>0</v>
      </c>
      <c r="AY594" s="2">
        <f t="shared" si="450"/>
        <v>216.48</v>
      </c>
      <c r="AZ594" s="2">
        <f t="shared" si="450"/>
        <v>0</v>
      </c>
      <c r="BA594" s="2">
        <f t="shared" si="450"/>
        <v>0</v>
      </c>
      <c r="BB594" s="2">
        <f t="shared" si="450"/>
        <v>0</v>
      </c>
      <c r="BC594" s="2">
        <f t="shared" si="450"/>
        <v>0</v>
      </c>
      <c r="BD594" s="2">
        <f t="shared" si="450"/>
        <v>0</v>
      </c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3"/>
      <c r="DH594" s="3"/>
      <c r="DI594" s="3"/>
      <c r="DJ594" s="3"/>
      <c r="DK594" s="3"/>
      <c r="DL594" s="3"/>
      <c r="DM594" s="3"/>
      <c r="DN594" s="3"/>
      <c r="DO594" s="3"/>
      <c r="DP594" s="3"/>
      <c r="DQ594" s="3"/>
      <c r="DR594" s="3"/>
      <c r="DS594" s="3"/>
      <c r="DT594" s="3"/>
      <c r="DU594" s="3"/>
      <c r="DV594" s="3"/>
      <c r="DW594" s="3"/>
      <c r="DX594" s="3"/>
      <c r="DY594" s="3"/>
      <c r="DZ594" s="3"/>
      <c r="EA594" s="3"/>
      <c r="EB594" s="3"/>
      <c r="EC594" s="3"/>
      <c r="ED594" s="3"/>
      <c r="EE594" s="3"/>
      <c r="EF594" s="3"/>
      <c r="EG594" s="3"/>
      <c r="EH594" s="3"/>
      <c r="EI594" s="3"/>
      <c r="EJ594" s="3"/>
      <c r="EK594" s="3"/>
      <c r="EL594" s="3"/>
      <c r="EM594" s="3"/>
      <c r="EN594" s="3"/>
      <c r="EO594" s="3"/>
      <c r="EP594" s="3"/>
      <c r="EQ594" s="3"/>
      <c r="ER594" s="3"/>
      <c r="ES594" s="3"/>
      <c r="ET594" s="3"/>
      <c r="EU594" s="3"/>
      <c r="EV594" s="3"/>
      <c r="EW594" s="3"/>
      <c r="EX594" s="3"/>
      <c r="EY594" s="3"/>
      <c r="EZ594" s="3"/>
      <c r="FA594" s="3"/>
      <c r="FB594" s="3"/>
      <c r="FC594" s="3"/>
      <c r="FD594" s="3"/>
      <c r="FE594" s="3"/>
      <c r="FF594" s="3"/>
      <c r="FG594" s="3"/>
      <c r="FH594" s="3"/>
      <c r="FI594" s="3"/>
      <c r="FJ594" s="3"/>
      <c r="FK594" s="3"/>
      <c r="FL594" s="3"/>
      <c r="FM594" s="3"/>
      <c r="FN594" s="3"/>
      <c r="FO594" s="3"/>
      <c r="FP594" s="3"/>
      <c r="FQ594" s="3"/>
      <c r="FR594" s="3"/>
      <c r="FS594" s="3"/>
      <c r="FT594" s="3"/>
      <c r="FU594" s="3"/>
      <c r="FV594" s="3"/>
      <c r="FW594" s="3"/>
      <c r="FX594" s="3"/>
      <c r="FY594" s="3"/>
      <c r="FZ594" s="3"/>
      <c r="GA594" s="3"/>
      <c r="GB594" s="3"/>
      <c r="GC594" s="3"/>
      <c r="GD594" s="3"/>
      <c r="GE594" s="3"/>
      <c r="GF594" s="3"/>
      <c r="GG594" s="3"/>
      <c r="GH594" s="3"/>
      <c r="GI594" s="3"/>
      <c r="GJ594" s="3"/>
      <c r="GK594" s="3"/>
      <c r="GL594" s="3"/>
      <c r="GM594" s="3"/>
      <c r="GN594" s="3"/>
      <c r="GO594" s="3"/>
      <c r="GP594" s="3"/>
      <c r="GQ594" s="3"/>
      <c r="GR594" s="3"/>
      <c r="GS594" s="3"/>
      <c r="GT594" s="3"/>
      <c r="GU594" s="3"/>
      <c r="GV594" s="3"/>
      <c r="GW594" s="3"/>
      <c r="GX594" s="3">
        <v>0</v>
      </c>
    </row>
    <row r="596" spans="1:206" x14ac:dyDescent="0.2">
      <c r="A596" s="4">
        <v>50</v>
      </c>
      <c r="B596" s="4">
        <v>0</v>
      </c>
      <c r="C596" s="4">
        <v>0</v>
      </c>
      <c r="D596" s="4">
        <v>1</v>
      </c>
      <c r="E596" s="4">
        <v>201</v>
      </c>
      <c r="F596" s="4">
        <f>ROUND(Source!O594,O596)</f>
        <v>76775.199999999997</v>
      </c>
      <c r="G596" s="4" t="s">
        <v>74</v>
      </c>
      <c r="H596" s="4" t="s">
        <v>75</v>
      </c>
      <c r="I596" s="4"/>
      <c r="J596" s="4"/>
      <c r="K596" s="4">
        <v>201</v>
      </c>
      <c r="L596" s="4">
        <v>1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76775.199999999997</v>
      </c>
      <c r="X596" s="4">
        <v>1</v>
      </c>
      <c r="Y596" s="4">
        <v>76775.199999999997</v>
      </c>
      <c r="Z596" s="4"/>
      <c r="AA596" s="4"/>
      <c r="AB596" s="4"/>
    </row>
    <row r="597" spans="1:206" x14ac:dyDescent="0.2">
      <c r="A597" s="4">
        <v>50</v>
      </c>
      <c r="B597" s="4">
        <v>0</v>
      </c>
      <c r="C597" s="4">
        <v>0</v>
      </c>
      <c r="D597" s="4">
        <v>1</v>
      </c>
      <c r="E597" s="4">
        <v>202</v>
      </c>
      <c r="F597" s="4">
        <f>ROUND(Source!P594,O597)</f>
        <v>216.48</v>
      </c>
      <c r="G597" s="4" t="s">
        <v>76</v>
      </c>
      <c r="H597" s="4" t="s">
        <v>77</v>
      </c>
      <c r="I597" s="4"/>
      <c r="J597" s="4"/>
      <c r="K597" s="4">
        <v>202</v>
      </c>
      <c r="L597" s="4">
        <v>2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216.48</v>
      </c>
      <c r="X597" s="4">
        <v>1</v>
      </c>
      <c r="Y597" s="4">
        <v>216.48</v>
      </c>
      <c r="Z597" s="4"/>
      <c r="AA597" s="4"/>
      <c r="AB597" s="4"/>
    </row>
    <row r="598" spans="1:206" x14ac:dyDescent="0.2">
      <c r="A598" s="4">
        <v>50</v>
      </c>
      <c r="B598" s="4">
        <v>0</v>
      </c>
      <c r="C598" s="4">
        <v>0</v>
      </c>
      <c r="D598" s="4">
        <v>1</v>
      </c>
      <c r="E598" s="4">
        <v>222</v>
      </c>
      <c r="F598" s="4">
        <f>ROUND(Source!AO594,O598)</f>
        <v>0</v>
      </c>
      <c r="G598" s="4" t="s">
        <v>78</v>
      </c>
      <c r="H598" s="4" t="s">
        <v>79</v>
      </c>
      <c r="I598" s="4"/>
      <c r="J598" s="4"/>
      <c r="K598" s="4">
        <v>222</v>
      </c>
      <c r="L598" s="4">
        <v>3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0</v>
      </c>
      <c r="X598" s="4">
        <v>1</v>
      </c>
      <c r="Y598" s="4">
        <v>0</v>
      </c>
      <c r="Z598" s="4"/>
      <c r="AA598" s="4"/>
      <c r="AB598" s="4"/>
    </row>
    <row r="599" spans="1:206" x14ac:dyDescent="0.2">
      <c r="A599" s="4">
        <v>50</v>
      </c>
      <c r="B599" s="4">
        <v>0</v>
      </c>
      <c r="C599" s="4">
        <v>0</v>
      </c>
      <c r="D599" s="4">
        <v>1</v>
      </c>
      <c r="E599" s="4">
        <v>225</v>
      </c>
      <c r="F599" s="4">
        <f>ROUND(Source!AV594,O599)</f>
        <v>216.48</v>
      </c>
      <c r="G599" s="4" t="s">
        <v>80</v>
      </c>
      <c r="H599" s="4" t="s">
        <v>81</v>
      </c>
      <c r="I599" s="4"/>
      <c r="J599" s="4"/>
      <c r="K599" s="4">
        <v>225</v>
      </c>
      <c r="L599" s="4">
        <v>4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216.48</v>
      </c>
      <c r="X599" s="4">
        <v>1</v>
      </c>
      <c r="Y599" s="4">
        <v>216.48</v>
      </c>
      <c r="Z599" s="4"/>
      <c r="AA599" s="4"/>
      <c r="AB599" s="4"/>
    </row>
    <row r="600" spans="1:206" x14ac:dyDescent="0.2">
      <c r="A600" s="4">
        <v>50</v>
      </c>
      <c r="B600" s="4">
        <v>0</v>
      </c>
      <c r="C600" s="4">
        <v>0</v>
      </c>
      <c r="D600" s="4">
        <v>1</v>
      </c>
      <c r="E600" s="4">
        <v>226</v>
      </c>
      <c r="F600" s="4">
        <f>ROUND(Source!AW594,O600)</f>
        <v>216.48</v>
      </c>
      <c r="G600" s="4" t="s">
        <v>82</v>
      </c>
      <c r="H600" s="4" t="s">
        <v>83</v>
      </c>
      <c r="I600" s="4"/>
      <c r="J600" s="4"/>
      <c r="K600" s="4">
        <v>226</v>
      </c>
      <c r="L600" s="4">
        <v>5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216.48</v>
      </c>
      <c r="X600" s="4">
        <v>1</v>
      </c>
      <c r="Y600" s="4">
        <v>216.48</v>
      </c>
      <c r="Z600" s="4"/>
      <c r="AA600" s="4"/>
      <c r="AB600" s="4"/>
    </row>
    <row r="601" spans="1:206" x14ac:dyDescent="0.2">
      <c r="A601" s="4">
        <v>50</v>
      </c>
      <c r="B601" s="4">
        <v>0</v>
      </c>
      <c r="C601" s="4">
        <v>0</v>
      </c>
      <c r="D601" s="4">
        <v>1</v>
      </c>
      <c r="E601" s="4">
        <v>227</v>
      </c>
      <c r="F601" s="4">
        <f>ROUND(Source!AX594,O601)</f>
        <v>0</v>
      </c>
      <c r="G601" s="4" t="s">
        <v>84</v>
      </c>
      <c r="H601" s="4" t="s">
        <v>85</v>
      </c>
      <c r="I601" s="4"/>
      <c r="J601" s="4"/>
      <c r="K601" s="4">
        <v>227</v>
      </c>
      <c r="L601" s="4">
        <v>6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0</v>
      </c>
      <c r="X601" s="4">
        <v>1</v>
      </c>
      <c r="Y601" s="4">
        <v>0</v>
      </c>
      <c r="Z601" s="4"/>
      <c r="AA601" s="4"/>
      <c r="AB601" s="4"/>
    </row>
    <row r="602" spans="1:206" x14ac:dyDescent="0.2">
      <c r="A602" s="4">
        <v>50</v>
      </c>
      <c r="B602" s="4">
        <v>0</v>
      </c>
      <c r="C602" s="4">
        <v>0</v>
      </c>
      <c r="D602" s="4">
        <v>1</v>
      </c>
      <c r="E602" s="4">
        <v>228</v>
      </c>
      <c r="F602" s="4">
        <f>ROUND(Source!AY594,O602)</f>
        <v>216.48</v>
      </c>
      <c r="G602" s="4" t="s">
        <v>86</v>
      </c>
      <c r="H602" s="4" t="s">
        <v>87</v>
      </c>
      <c r="I602" s="4"/>
      <c r="J602" s="4"/>
      <c r="K602" s="4">
        <v>228</v>
      </c>
      <c r="L602" s="4">
        <v>7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216.48</v>
      </c>
      <c r="X602" s="4">
        <v>1</v>
      </c>
      <c r="Y602" s="4">
        <v>216.48</v>
      </c>
      <c r="Z602" s="4"/>
      <c r="AA602" s="4"/>
      <c r="AB602" s="4"/>
    </row>
    <row r="603" spans="1:206" x14ac:dyDescent="0.2">
      <c r="A603" s="4">
        <v>50</v>
      </c>
      <c r="B603" s="4">
        <v>0</v>
      </c>
      <c r="C603" s="4">
        <v>0</v>
      </c>
      <c r="D603" s="4">
        <v>1</v>
      </c>
      <c r="E603" s="4">
        <v>216</v>
      </c>
      <c r="F603" s="4">
        <f>ROUND(Source!AP594,O603)</f>
        <v>0</v>
      </c>
      <c r="G603" s="4" t="s">
        <v>88</v>
      </c>
      <c r="H603" s="4" t="s">
        <v>89</v>
      </c>
      <c r="I603" s="4"/>
      <c r="J603" s="4"/>
      <c r="K603" s="4">
        <v>216</v>
      </c>
      <c r="L603" s="4">
        <v>8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06" x14ac:dyDescent="0.2">
      <c r="A604" s="4">
        <v>50</v>
      </c>
      <c r="B604" s="4">
        <v>0</v>
      </c>
      <c r="C604" s="4">
        <v>0</v>
      </c>
      <c r="D604" s="4">
        <v>1</v>
      </c>
      <c r="E604" s="4">
        <v>223</v>
      </c>
      <c r="F604" s="4">
        <f>ROUND(Source!AQ594,O604)</f>
        <v>0</v>
      </c>
      <c r="G604" s="4" t="s">
        <v>90</v>
      </c>
      <c r="H604" s="4" t="s">
        <v>91</v>
      </c>
      <c r="I604" s="4"/>
      <c r="J604" s="4"/>
      <c r="K604" s="4">
        <v>223</v>
      </c>
      <c r="L604" s="4">
        <v>9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0</v>
      </c>
      <c r="X604" s="4">
        <v>1</v>
      </c>
      <c r="Y604" s="4">
        <v>0</v>
      </c>
      <c r="Z604" s="4"/>
      <c r="AA604" s="4"/>
      <c r="AB604" s="4"/>
    </row>
    <row r="605" spans="1:206" x14ac:dyDescent="0.2">
      <c r="A605" s="4">
        <v>50</v>
      </c>
      <c r="B605" s="4">
        <v>0</v>
      </c>
      <c r="C605" s="4">
        <v>0</v>
      </c>
      <c r="D605" s="4">
        <v>1</v>
      </c>
      <c r="E605" s="4">
        <v>229</v>
      </c>
      <c r="F605" s="4">
        <f>ROUND(Source!AZ594,O605)</f>
        <v>0</v>
      </c>
      <c r="G605" s="4" t="s">
        <v>92</v>
      </c>
      <c r="H605" s="4" t="s">
        <v>93</v>
      </c>
      <c r="I605" s="4"/>
      <c r="J605" s="4"/>
      <c r="K605" s="4">
        <v>229</v>
      </c>
      <c r="L605" s="4">
        <v>10</v>
      </c>
      <c r="M605" s="4">
        <v>3</v>
      </c>
      <c r="N605" s="4" t="s">
        <v>3</v>
      </c>
      <c r="O605" s="4">
        <v>2</v>
      </c>
      <c r="P605" s="4"/>
      <c r="Q605" s="4"/>
      <c r="R605" s="4"/>
      <c r="S605" s="4"/>
      <c r="T605" s="4"/>
      <c r="U605" s="4"/>
      <c r="V605" s="4"/>
      <c r="W605" s="4">
        <v>0</v>
      </c>
      <c r="X605" s="4">
        <v>1</v>
      </c>
      <c r="Y605" s="4">
        <v>0</v>
      </c>
      <c r="Z605" s="4"/>
      <c r="AA605" s="4"/>
      <c r="AB605" s="4"/>
    </row>
    <row r="606" spans="1:206" x14ac:dyDescent="0.2">
      <c r="A606" s="4">
        <v>50</v>
      </c>
      <c r="B606" s="4">
        <v>0</v>
      </c>
      <c r="C606" s="4">
        <v>0</v>
      </c>
      <c r="D606" s="4">
        <v>1</v>
      </c>
      <c r="E606" s="4">
        <v>203</v>
      </c>
      <c r="F606" s="4">
        <f>ROUND(Source!Q594,O606)</f>
        <v>105.64</v>
      </c>
      <c r="G606" s="4" t="s">
        <v>94</v>
      </c>
      <c r="H606" s="4" t="s">
        <v>95</v>
      </c>
      <c r="I606" s="4"/>
      <c r="J606" s="4"/>
      <c r="K606" s="4">
        <v>203</v>
      </c>
      <c r="L606" s="4">
        <v>11</v>
      </c>
      <c r="M606" s="4">
        <v>3</v>
      </c>
      <c r="N606" s="4" t="s">
        <v>3</v>
      </c>
      <c r="O606" s="4">
        <v>2</v>
      </c>
      <c r="P606" s="4"/>
      <c r="Q606" s="4"/>
      <c r="R606" s="4"/>
      <c r="S606" s="4"/>
      <c r="T606" s="4"/>
      <c r="U606" s="4"/>
      <c r="V606" s="4"/>
      <c r="W606" s="4">
        <v>105.64</v>
      </c>
      <c r="X606" s="4">
        <v>1</v>
      </c>
      <c r="Y606" s="4">
        <v>105.64</v>
      </c>
      <c r="Z606" s="4"/>
      <c r="AA606" s="4"/>
      <c r="AB606" s="4"/>
    </row>
    <row r="607" spans="1:206" x14ac:dyDescent="0.2">
      <c r="A607" s="4">
        <v>50</v>
      </c>
      <c r="B607" s="4">
        <v>0</v>
      </c>
      <c r="C607" s="4">
        <v>0</v>
      </c>
      <c r="D607" s="4">
        <v>1</v>
      </c>
      <c r="E607" s="4">
        <v>231</v>
      </c>
      <c r="F607" s="4">
        <f>ROUND(Source!BB594,O607)</f>
        <v>0</v>
      </c>
      <c r="G607" s="4" t="s">
        <v>96</v>
      </c>
      <c r="H607" s="4" t="s">
        <v>97</v>
      </c>
      <c r="I607" s="4"/>
      <c r="J607" s="4"/>
      <c r="K607" s="4">
        <v>231</v>
      </c>
      <c r="L607" s="4">
        <v>12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06" x14ac:dyDescent="0.2">
      <c r="A608" s="4">
        <v>50</v>
      </c>
      <c r="B608" s="4">
        <v>0</v>
      </c>
      <c r="C608" s="4">
        <v>0</v>
      </c>
      <c r="D608" s="4">
        <v>1</v>
      </c>
      <c r="E608" s="4">
        <v>204</v>
      </c>
      <c r="F608" s="4">
        <f>ROUND(Source!R594,O608)</f>
        <v>0.64</v>
      </c>
      <c r="G608" s="4" t="s">
        <v>98</v>
      </c>
      <c r="H608" s="4" t="s">
        <v>99</v>
      </c>
      <c r="I608" s="4"/>
      <c r="J608" s="4"/>
      <c r="K608" s="4">
        <v>204</v>
      </c>
      <c r="L608" s="4">
        <v>13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0.64</v>
      </c>
      <c r="X608" s="4">
        <v>1</v>
      </c>
      <c r="Y608" s="4">
        <v>0.64</v>
      </c>
      <c r="Z608" s="4"/>
      <c r="AA608" s="4"/>
      <c r="AB608" s="4"/>
    </row>
    <row r="609" spans="1:206" x14ac:dyDescent="0.2">
      <c r="A609" s="4">
        <v>50</v>
      </c>
      <c r="B609" s="4">
        <v>0</v>
      </c>
      <c r="C609" s="4">
        <v>0</v>
      </c>
      <c r="D609" s="4">
        <v>1</v>
      </c>
      <c r="E609" s="4">
        <v>205</v>
      </c>
      <c r="F609" s="4">
        <f>ROUND(Source!S594,O609)</f>
        <v>76453.08</v>
      </c>
      <c r="G609" s="4" t="s">
        <v>100</v>
      </c>
      <c r="H609" s="4" t="s">
        <v>101</v>
      </c>
      <c r="I609" s="4"/>
      <c r="J609" s="4"/>
      <c r="K609" s="4">
        <v>205</v>
      </c>
      <c r="L609" s="4">
        <v>14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76453.08</v>
      </c>
      <c r="X609" s="4">
        <v>1</v>
      </c>
      <c r="Y609" s="4">
        <v>76453.08</v>
      </c>
      <c r="Z609" s="4"/>
      <c r="AA609" s="4"/>
      <c r="AB609" s="4"/>
    </row>
    <row r="610" spans="1:206" x14ac:dyDescent="0.2">
      <c r="A610" s="4">
        <v>50</v>
      </c>
      <c r="B610" s="4">
        <v>0</v>
      </c>
      <c r="C610" s="4">
        <v>0</v>
      </c>
      <c r="D610" s="4">
        <v>1</v>
      </c>
      <c r="E610" s="4">
        <v>232</v>
      </c>
      <c r="F610" s="4">
        <f>ROUND(Source!BC594,O610)</f>
        <v>0</v>
      </c>
      <c r="G610" s="4" t="s">
        <v>102</v>
      </c>
      <c r="H610" s="4" t="s">
        <v>103</v>
      </c>
      <c r="I610" s="4"/>
      <c r="J610" s="4"/>
      <c r="K610" s="4">
        <v>232</v>
      </c>
      <c r="L610" s="4">
        <v>15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0</v>
      </c>
      <c r="X610" s="4">
        <v>1</v>
      </c>
      <c r="Y610" s="4">
        <v>0</v>
      </c>
      <c r="Z610" s="4"/>
      <c r="AA610" s="4"/>
      <c r="AB610" s="4"/>
    </row>
    <row r="611" spans="1:206" x14ac:dyDescent="0.2">
      <c r="A611" s="4">
        <v>50</v>
      </c>
      <c r="B611" s="4">
        <v>0</v>
      </c>
      <c r="C611" s="4">
        <v>0</v>
      </c>
      <c r="D611" s="4">
        <v>1</v>
      </c>
      <c r="E611" s="4">
        <v>214</v>
      </c>
      <c r="F611" s="4">
        <f>ROUND(Source!AS594,O611)</f>
        <v>0</v>
      </c>
      <c r="G611" s="4" t="s">
        <v>104</v>
      </c>
      <c r="H611" s="4" t="s">
        <v>105</v>
      </c>
      <c r="I611" s="4"/>
      <c r="J611" s="4"/>
      <c r="K611" s="4">
        <v>214</v>
      </c>
      <c r="L611" s="4">
        <v>16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0</v>
      </c>
      <c r="X611" s="4">
        <v>1</v>
      </c>
      <c r="Y611" s="4">
        <v>0</v>
      </c>
      <c r="Z611" s="4"/>
      <c r="AA611" s="4"/>
      <c r="AB611" s="4"/>
    </row>
    <row r="612" spans="1:206" x14ac:dyDescent="0.2">
      <c r="A612" s="4">
        <v>50</v>
      </c>
      <c r="B612" s="4">
        <v>0</v>
      </c>
      <c r="C612" s="4">
        <v>0</v>
      </c>
      <c r="D612" s="4">
        <v>1</v>
      </c>
      <c r="E612" s="4">
        <v>215</v>
      </c>
      <c r="F612" s="4">
        <f>ROUND(Source!AT594,O612)</f>
        <v>0</v>
      </c>
      <c r="G612" s="4" t="s">
        <v>106</v>
      </c>
      <c r="H612" s="4" t="s">
        <v>107</v>
      </c>
      <c r="I612" s="4"/>
      <c r="J612" s="4"/>
      <c r="K612" s="4">
        <v>215</v>
      </c>
      <c r="L612" s="4">
        <v>17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0</v>
      </c>
      <c r="X612" s="4">
        <v>1</v>
      </c>
      <c r="Y612" s="4">
        <v>0</v>
      </c>
      <c r="Z612" s="4"/>
      <c r="AA612" s="4"/>
      <c r="AB612" s="4"/>
    </row>
    <row r="613" spans="1:206" x14ac:dyDescent="0.2">
      <c r="A613" s="4">
        <v>50</v>
      </c>
      <c r="B613" s="4">
        <v>0</v>
      </c>
      <c r="C613" s="4">
        <v>0</v>
      </c>
      <c r="D613" s="4">
        <v>1</v>
      </c>
      <c r="E613" s="4">
        <v>217</v>
      </c>
      <c r="F613" s="4">
        <f>ROUND(Source!AU594,O613)</f>
        <v>137938.35</v>
      </c>
      <c r="G613" s="4" t="s">
        <v>108</v>
      </c>
      <c r="H613" s="4" t="s">
        <v>109</v>
      </c>
      <c r="I613" s="4"/>
      <c r="J613" s="4"/>
      <c r="K613" s="4">
        <v>217</v>
      </c>
      <c r="L613" s="4">
        <v>18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137938.35</v>
      </c>
      <c r="X613" s="4">
        <v>1</v>
      </c>
      <c r="Y613" s="4">
        <v>137938.35</v>
      </c>
      <c r="Z613" s="4"/>
      <c r="AA613" s="4"/>
      <c r="AB613" s="4"/>
    </row>
    <row r="614" spans="1:206" x14ac:dyDescent="0.2">
      <c r="A614" s="4">
        <v>50</v>
      </c>
      <c r="B614" s="4">
        <v>0</v>
      </c>
      <c r="C614" s="4">
        <v>0</v>
      </c>
      <c r="D614" s="4">
        <v>1</v>
      </c>
      <c r="E614" s="4">
        <v>230</v>
      </c>
      <c r="F614" s="4">
        <f>ROUND(Source!BA594,O614)</f>
        <v>0</v>
      </c>
      <c r="G614" s="4" t="s">
        <v>110</v>
      </c>
      <c r="H614" s="4" t="s">
        <v>111</v>
      </c>
      <c r="I614" s="4"/>
      <c r="J614" s="4"/>
      <c r="K614" s="4">
        <v>230</v>
      </c>
      <c r="L614" s="4">
        <v>19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06" x14ac:dyDescent="0.2">
      <c r="A615" s="4">
        <v>50</v>
      </c>
      <c r="B615" s="4">
        <v>0</v>
      </c>
      <c r="C615" s="4">
        <v>0</v>
      </c>
      <c r="D615" s="4">
        <v>1</v>
      </c>
      <c r="E615" s="4">
        <v>206</v>
      </c>
      <c r="F615" s="4">
        <f>ROUND(Source!T594,O615)</f>
        <v>0</v>
      </c>
      <c r="G615" s="4" t="s">
        <v>112</v>
      </c>
      <c r="H615" s="4" t="s">
        <v>113</v>
      </c>
      <c r="I615" s="4"/>
      <c r="J615" s="4"/>
      <c r="K615" s="4">
        <v>206</v>
      </c>
      <c r="L615" s="4">
        <v>20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0</v>
      </c>
      <c r="X615" s="4">
        <v>1</v>
      </c>
      <c r="Y615" s="4">
        <v>0</v>
      </c>
      <c r="Z615" s="4"/>
      <c r="AA615" s="4"/>
      <c r="AB615" s="4"/>
    </row>
    <row r="616" spans="1:206" x14ac:dyDescent="0.2">
      <c r="A616" s="4">
        <v>50</v>
      </c>
      <c r="B616" s="4">
        <v>0</v>
      </c>
      <c r="C616" s="4">
        <v>0</v>
      </c>
      <c r="D616" s="4">
        <v>1</v>
      </c>
      <c r="E616" s="4">
        <v>207</v>
      </c>
      <c r="F616" s="4">
        <f>Source!U594</f>
        <v>134.12</v>
      </c>
      <c r="G616" s="4" t="s">
        <v>114</v>
      </c>
      <c r="H616" s="4" t="s">
        <v>115</v>
      </c>
      <c r="I616" s="4"/>
      <c r="J616" s="4"/>
      <c r="K616" s="4">
        <v>207</v>
      </c>
      <c r="L616" s="4">
        <v>21</v>
      </c>
      <c r="M616" s="4">
        <v>3</v>
      </c>
      <c r="N616" s="4" t="s">
        <v>3</v>
      </c>
      <c r="O616" s="4">
        <v>-1</v>
      </c>
      <c r="P616" s="4"/>
      <c r="Q616" s="4"/>
      <c r="R616" s="4"/>
      <c r="S616" s="4"/>
      <c r="T616" s="4"/>
      <c r="U616" s="4"/>
      <c r="V616" s="4"/>
      <c r="W616" s="4">
        <v>134.12</v>
      </c>
      <c r="X616" s="4">
        <v>1</v>
      </c>
      <c r="Y616" s="4">
        <v>134.12</v>
      </c>
      <c r="Z616" s="4"/>
      <c r="AA616" s="4"/>
      <c r="AB616" s="4"/>
    </row>
    <row r="617" spans="1:206" x14ac:dyDescent="0.2">
      <c r="A617" s="4">
        <v>50</v>
      </c>
      <c r="B617" s="4">
        <v>0</v>
      </c>
      <c r="C617" s="4">
        <v>0</v>
      </c>
      <c r="D617" s="4">
        <v>1</v>
      </c>
      <c r="E617" s="4">
        <v>208</v>
      </c>
      <c r="F617" s="4">
        <f>Source!V594</f>
        <v>0</v>
      </c>
      <c r="G617" s="4" t="s">
        <v>116</v>
      </c>
      <c r="H617" s="4" t="s">
        <v>117</v>
      </c>
      <c r="I617" s="4"/>
      <c r="J617" s="4"/>
      <c r="K617" s="4">
        <v>208</v>
      </c>
      <c r="L617" s="4">
        <v>22</v>
      </c>
      <c r="M617" s="4">
        <v>3</v>
      </c>
      <c r="N617" s="4" t="s">
        <v>3</v>
      </c>
      <c r="O617" s="4">
        <v>-1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06" x14ac:dyDescent="0.2">
      <c r="A618" s="4">
        <v>50</v>
      </c>
      <c r="B618" s="4">
        <v>0</v>
      </c>
      <c r="C618" s="4">
        <v>0</v>
      </c>
      <c r="D618" s="4">
        <v>1</v>
      </c>
      <c r="E618" s="4">
        <v>209</v>
      </c>
      <c r="F618" s="4">
        <f>ROUND(Source!W594,O618)</f>
        <v>0</v>
      </c>
      <c r="G618" s="4" t="s">
        <v>118</v>
      </c>
      <c r="H618" s="4" t="s">
        <v>119</v>
      </c>
      <c r="I618" s="4"/>
      <c r="J618" s="4"/>
      <c r="K618" s="4">
        <v>209</v>
      </c>
      <c r="L618" s="4">
        <v>23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06" x14ac:dyDescent="0.2">
      <c r="A619" s="4">
        <v>50</v>
      </c>
      <c r="B619" s="4">
        <v>0</v>
      </c>
      <c r="C619" s="4">
        <v>0</v>
      </c>
      <c r="D619" s="4">
        <v>1</v>
      </c>
      <c r="E619" s="4">
        <v>233</v>
      </c>
      <c r="F619" s="4">
        <f>ROUND(Source!BD594,O619)</f>
        <v>0</v>
      </c>
      <c r="G619" s="4" t="s">
        <v>120</v>
      </c>
      <c r="H619" s="4" t="s">
        <v>121</v>
      </c>
      <c r="I619" s="4"/>
      <c r="J619" s="4"/>
      <c r="K619" s="4">
        <v>233</v>
      </c>
      <c r="L619" s="4">
        <v>24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06" x14ac:dyDescent="0.2">
      <c r="A620" s="4">
        <v>50</v>
      </c>
      <c r="B620" s="4">
        <v>0</v>
      </c>
      <c r="C620" s="4">
        <v>0</v>
      </c>
      <c r="D620" s="4">
        <v>1</v>
      </c>
      <c r="E620" s="4">
        <v>210</v>
      </c>
      <c r="F620" s="4">
        <f>ROUND(Source!X594,O620)</f>
        <v>53517.15</v>
      </c>
      <c r="G620" s="4" t="s">
        <v>122</v>
      </c>
      <c r="H620" s="4" t="s">
        <v>123</v>
      </c>
      <c r="I620" s="4"/>
      <c r="J620" s="4"/>
      <c r="K620" s="4">
        <v>210</v>
      </c>
      <c r="L620" s="4">
        <v>25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53517.15</v>
      </c>
      <c r="X620" s="4">
        <v>1</v>
      </c>
      <c r="Y620" s="4">
        <v>53517.15</v>
      </c>
      <c r="Z620" s="4"/>
      <c r="AA620" s="4"/>
      <c r="AB620" s="4"/>
    </row>
    <row r="621" spans="1:206" x14ac:dyDescent="0.2">
      <c r="A621" s="4">
        <v>50</v>
      </c>
      <c r="B621" s="4">
        <v>0</v>
      </c>
      <c r="C621" s="4">
        <v>0</v>
      </c>
      <c r="D621" s="4">
        <v>1</v>
      </c>
      <c r="E621" s="4">
        <v>211</v>
      </c>
      <c r="F621" s="4">
        <f>ROUND(Source!Y594,O621)</f>
        <v>7645.31</v>
      </c>
      <c r="G621" s="4" t="s">
        <v>124</v>
      </c>
      <c r="H621" s="4" t="s">
        <v>125</v>
      </c>
      <c r="I621" s="4"/>
      <c r="J621" s="4"/>
      <c r="K621" s="4">
        <v>211</v>
      </c>
      <c r="L621" s="4">
        <v>26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7645.31</v>
      </c>
      <c r="X621" s="4">
        <v>1</v>
      </c>
      <c r="Y621" s="4">
        <v>7645.31</v>
      </c>
      <c r="Z621" s="4"/>
      <c r="AA621" s="4"/>
      <c r="AB621" s="4"/>
    </row>
    <row r="622" spans="1:206" x14ac:dyDescent="0.2">
      <c r="A622" s="4">
        <v>50</v>
      </c>
      <c r="B622" s="4">
        <v>0</v>
      </c>
      <c r="C622" s="4">
        <v>0</v>
      </c>
      <c r="D622" s="4">
        <v>1</v>
      </c>
      <c r="E622" s="4">
        <v>224</v>
      </c>
      <c r="F622" s="4">
        <f>ROUND(Source!AR594,O622)</f>
        <v>137938.35</v>
      </c>
      <c r="G622" s="4" t="s">
        <v>126</v>
      </c>
      <c r="H622" s="4" t="s">
        <v>127</v>
      </c>
      <c r="I622" s="4"/>
      <c r="J622" s="4"/>
      <c r="K622" s="4">
        <v>224</v>
      </c>
      <c r="L622" s="4">
        <v>27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137938.35</v>
      </c>
      <c r="X622" s="4">
        <v>1</v>
      </c>
      <c r="Y622" s="4">
        <v>137938.35</v>
      </c>
      <c r="Z622" s="4"/>
      <c r="AA622" s="4"/>
      <c r="AB622" s="4"/>
    </row>
    <row r="624" spans="1:206" x14ac:dyDescent="0.2">
      <c r="A624" s="2">
        <v>51</v>
      </c>
      <c r="B624" s="2">
        <f>B503</f>
        <v>1</v>
      </c>
      <c r="C624" s="2">
        <f>A503</f>
        <v>3</v>
      </c>
      <c r="D624" s="2">
        <f>ROW(A503)</f>
        <v>503</v>
      </c>
      <c r="E624" s="2"/>
      <c r="F624" s="2" t="str">
        <f>IF(F503&lt;&gt;"",F503,"")</f>
        <v>Новая локальная смета</v>
      </c>
      <c r="G624" s="2" t="str">
        <f>IF(G503&lt;&gt;"",G503,"")</f>
        <v>Техническое обслуживание вентиляции</v>
      </c>
      <c r="H624" s="2">
        <v>0</v>
      </c>
      <c r="I624" s="2"/>
      <c r="J624" s="2"/>
      <c r="K624" s="2"/>
      <c r="L624" s="2"/>
      <c r="M624" s="2"/>
      <c r="N624" s="2"/>
      <c r="O624" s="2">
        <f t="shared" ref="O624:T624" si="451">ROUND(O594+AB624,2)</f>
        <v>76775.199999999997</v>
      </c>
      <c r="P624" s="2">
        <f t="shared" si="451"/>
        <v>216.48</v>
      </c>
      <c r="Q624" s="2">
        <f t="shared" si="451"/>
        <v>105.64</v>
      </c>
      <c r="R624" s="2">
        <f t="shared" si="451"/>
        <v>0.64</v>
      </c>
      <c r="S624" s="2">
        <f t="shared" si="451"/>
        <v>76453.08</v>
      </c>
      <c r="T624" s="2">
        <f t="shared" si="451"/>
        <v>0</v>
      </c>
      <c r="U624" s="2">
        <f>U594+AH624</f>
        <v>134.12</v>
      </c>
      <c r="V624" s="2">
        <f>V594+AI624</f>
        <v>0</v>
      </c>
      <c r="W624" s="2">
        <f>ROUND(W594+AJ624,2)</f>
        <v>0</v>
      </c>
      <c r="X624" s="2">
        <f>ROUND(X594+AK624,2)</f>
        <v>53517.15</v>
      </c>
      <c r="Y624" s="2">
        <f>ROUND(Y594+AL624,2)</f>
        <v>7645.31</v>
      </c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>
        <f t="shared" ref="AO624:BD624" si="452">ROUND(AO594+BX624,2)</f>
        <v>0</v>
      </c>
      <c r="AP624" s="2">
        <f t="shared" si="452"/>
        <v>0</v>
      </c>
      <c r="AQ624" s="2">
        <f t="shared" si="452"/>
        <v>0</v>
      </c>
      <c r="AR624" s="2">
        <f t="shared" si="452"/>
        <v>137938.35</v>
      </c>
      <c r="AS624" s="2">
        <f t="shared" si="452"/>
        <v>0</v>
      </c>
      <c r="AT624" s="2">
        <f t="shared" si="452"/>
        <v>0</v>
      </c>
      <c r="AU624" s="2">
        <f t="shared" si="452"/>
        <v>137938.35</v>
      </c>
      <c r="AV624" s="2">
        <f t="shared" si="452"/>
        <v>216.48</v>
      </c>
      <c r="AW624" s="2">
        <f t="shared" si="452"/>
        <v>216.48</v>
      </c>
      <c r="AX624" s="2">
        <f t="shared" si="452"/>
        <v>0</v>
      </c>
      <c r="AY624" s="2">
        <f t="shared" si="452"/>
        <v>216.48</v>
      </c>
      <c r="AZ624" s="2">
        <f t="shared" si="452"/>
        <v>0</v>
      </c>
      <c r="BA624" s="2">
        <f t="shared" si="452"/>
        <v>0</v>
      </c>
      <c r="BB624" s="2">
        <f t="shared" si="452"/>
        <v>0</v>
      </c>
      <c r="BC624" s="2">
        <f t="shared" si="452"/>
        <v>0</v>
      </c>
      <c r="BD624" s="2">
        <f t="shared" si="452"/>
        <v>0</v>
      </c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3"/>
      <c r="DH624" s="3"/>
      <c r="DI624" s="3"/>
      <c r="DJ624" s="3"/>
      <c r="DK624" s="3"/>
      <c r="DL624" s="3"/>
      <c r="DM624" s="3"/>
      <c r="DN624" s="3"/>
      <c r="DO624" s="3"/>
      <c r="DP624" s="3"/>
      <c r="DQ624" s="3"/>
      <c r="DR624" s="3"/>
      <c r="DS624" s="3"/>
      <c r="DT624" s="3"/>
      <c r="DU624" s="3"/>
      <c r="DV624" s="3"/>
      <c r="DW624" s="3"/>
      <c r="DX624" s="3"/>
      <c r="DY624" s="3"/>
      <c r="DZ624" s="3"/>
      <c r="EA624" s="3"/>
      <c r="EB624" s="3"/>
      <c r="EC624" s="3"/>
      <c r="ED624" s="3"/>
      <c r="EE624" s="3"/>
      <c r="EF624" s="3"/>
      <c r="EG624" s="3"/>
      <c r="EH624" s="3"/>
      <c r="EI624" s="3"/>
      <c r="EJ624" s="3"/>
      <c r="EK624" s="3"/>
      <c r="EL624" s="3"/>
      <c r="EM624" s="3"/>
      <c r="EN624" s="3"/>
      <c r="EO624" s="3"/>
      <c r="EP624" s="3"/>
      <c r="EQ624" s="3"/>
      <c r="ER624" s="3"/>
      <c r="ES624" s="3"/>
      <c r="ET624" s="3"/>
      <c r="EU624" s="3"/>
      <c r="EV624" s="3"/>
      <c r="EW624" s="3"/>
      <c r="EX624" s="3"/>
      <c r="EY624" s="3"/>
      <c r="EZ624" s="3"/>
      <c r="FA624" s="3"/>
      <c r="FB624" s="3"/>
      <c r="FC624" s="3"/>
      <c r="FD624" s="3"/>
      <c r="FE624" s="3"/>
      <c r="FF624" s="3"/>
      <c r="FG624" s="3"/>
      <c r="FH624" s="3"/>
      <c r="FI624" s="3"/>
      <c r="FJ624" s="3"/>
      <c r="FK624" s="3"/>
      <c r="FL624" s="3"/>
      <c r="FM624" s="3"/>
      <c r="FN624" s="3"/>
      <c r="FO624" s="3"/>
      <c r="FP624" s="3"/>
      <c r="FQ624" s="3"/>
      <c r="FR624" s="3"/>
      <c r="FS624" s="3"/>
      <c r="FT624" s="3"/>
      <c r="FU624" s="3"/>
      <c r="FV624" s="3"/>
      <c r="FW624" s="3"/>
      <c r="FX624" s="3"/>
      <c r="FY624" s="3"/>
      <c r="FZ624" s="3"/>
      <c r="GA624" s="3"/>
      <c r="GB624" s="3"/>
      <c r="GC624" s="3"/>
      <c r="GD624" s="3"/>
      <c r="GE624" s="3"/>
      <c r="GF624" s="3"/>
      <c r="GG624" s="3"/>
      <c r="GH624" s="3"/>
      <c r="GI624" s="3"/>
      <c r="GJ624" s="3"/>
      <c r="GK624" s="3"/>
      <c r="GL624" s="3"/>
      <c r="GM624" s="3"/>
      <c r="GN624" s="3"/>
      <c r="GO624" s="3"/>
      <c r="GP624" s="3"/>
      <c r="GQ624" s="3"/>
      <c r="GR624" s="3"/>
      <c r="GS624" s="3"/>
      <c r="GT624" s="3"/>
      <c r="GU624" s="3"/>
      <c r="GV624" s="3"/>
      <c r="GW624" s="3"/>
      <c r="GX624" s="3">
        <v>0</v>
      </c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201</v>
      </c>
      <c r="F626" s="4">
        <f>ROUND(Source!O624,O626)</f>
        <v>76775.199999999997</v>
      </c>
      <c r="G626" s="4" t="s">
        <v>74</v>
      </c>
      <c r="H626" s="4" t="s">
        <v>75</v>
      </c>
      <c r="I626" s="4"/>
      <c r="J626" s="4"/>
      <c r="K626" s="4">
        <v>201</v>
      </c>
      <c r="L626" s="4">
        <v>1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76775.199999999997</v>
      </c>
      <c r="X626" s="4">
        <v>1</v>
      </c>
      <c r="Y626" s="4">
        <v>76775.199999999997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202</v>
      </c>
      <c r="F627" s="4">
        <f>ROUND(Source!P624,O627)</f>
        <v>216.48</v>
      </c>
      <c r="G627" s="4" t="s">
        <v>76</v>
      </c>
      <c r="H627" s="4" t="s">
        <v>77</v>
      </c>
      <c r="I627" s="4"/>
      <c r="J627" s="4"/>
      <c r="K627" s="4">
        <v>202</v>
      </c>
      <c r="L627" s="4">
        <v>2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216.48</v>
      </c>
      <c r="X627" s="4">
        <v>1</v>
      </c>
      <c r="Y627" s="4">
        <v>216.48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222</v>
      </c>
      <c r="F628" s="4">
        <f>ROUND(Source!AO624,O628)</f>
        <v>0</v>
      </c>
      <c r="G628" s="4" t="s">
        <v>78</v>
      </c>
      <c r="H628" s="4" t="s">
        <v>79</v>
      </c>
      <c r="I628" s="4"/>
      <c r="J628" s="4"/>
      <c r="K628" s="4">
        <v>222</v>
      </c>
      <c r="L628" s="4">
        <v>3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225</v>
      </c>
      <c r="F629" s="4">
        <f>ROUND(Source!AV624,O629)</f>
        <v>216.48</v>
      </c>
      <c r="G629" s="4" t="s">
        <v>80</v>
      </c>
      <c r="H629" s="4" t="s">
        <v>81</v>
      </c>
      <c r="I629" s="4"/>
      <c r="J629" s="4"/>
      <c r="K629" s="4">
        <v>225</v>
      </c>
      <c r="L629" s="4">
        <v>4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216.48</v>
      </c>
      <c r="X629" s="4">
        <v>1</v>
      </c>
      <c r="Y629" s="4">
        <v>216.48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226</v>
      </c>
      <c r="F630" s="4">
        <f>ROUND(Source!AW624,O630)</f>
        <v>216.48</v>
      </c>
      <c r="G630" s="4" t="s">
        <v>82</v>
      </c>
      <c r="H630" s="4" t="s">
        <v>83</v>
      </c>
      <c r="I630" s="4"/>
      <c r="J630" s="4"/>
      <c r="K630" s="4">
        <v>226</v>
      </c>
      <c r="L630" s="4">
        <v>5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216.48</v>
      </c>
      <c r="X630" s="4">
        <v>1</v>
      </c>
      <c r="Y630" s="4">
        <v>216.48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227</v>
      </c>
      <c r="F631" s="4">
        <f>ROUND(Source!AX624,O631)</f>
        <v>0</v>
      </c>
      <c r="G631" s="4" t="s">
        <v>84</v>
      </c>
      <c r="H631" s="4" t="s">
        <v>85</v>
      </c>
      <c r="I631" s="4"/>
      <c r="J631" s="4"/>
      <c r="K631" s="4">
        <v>227</v>
      </c>
      <c r="L631" s="4">
        <v>6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228</v>
      </c>
      <c r="F632" s="4">
        <f>ROUND(Source!AY624,O632)</f>
        <v>216.48</v>
      </c>
      <c r="G632" s="4" t="s">
        <v>86</v>
      </c>
      <c r="H632" s="4" t="s">
        <v>87</v>
      </c>
      <c r="I632" s="4"/>
      <c r="J632" s="4"/>
      <c r="K632" s="4">
        <v>228</v>
      </c>
      <c r="L632" s="4">
        <v>7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216.48</v>
      </c>
      <c r="X632" s="4">
        <v>1</v>
      </c>
      <c r="Y632" s="4">
        <v>216.48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216</v>
      </c>
      <c r="F633" s="4">
        <f>ROUND(Source!AP624,O633)</f>
        <v>0</v>
      </c>
      <c r="G633" s="4" t="s">
        <v>88</v>
      </c>
      <c r="H633" s="4" t="s">
        <v>89</v>
      </c>
      <c r="I633" s="4"/>
      <c r="J633" s="4"/>
      <c r="K633" s="4">
        <v>216</v>
      </c>
      <c r="L633" s="4">
        <v>8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223</v>
      </c>
      <c r="F634" s="4">
        <f>ROUND(Source!AQ624,O634)</f>
        <v>0</v>
      </c>
      <c r="G634" s="4" t="s">
        <v>90</v>
      </c>
      <c r="H634" s="4" t="s">
        <v>91</v>
      </c>
      <c r="I634" s="4"/>
      <c r="J634" s="4"/>
      <c r="K634" s="4">
        <v>223</v>
      </c>
      <c r="L634" s="4">
        <v>9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229</v>
      </c>
      <c r="F635" s="4">
        <f>ROUND(Source!AZ624,O635)</f>
        <v>0</v>
      </c>
      <c r="G635" s="4" t="s">
        <v>92</v>
      </c>
      <c r="H635" s="4" t="s">
        <v>93</v>
      </c>
      <c r="I635" s="4"/>
      <c r="J635" s="4"/>
      <c r="K635" s="4">
        <v>229</v>
      </c>
      <c r="L635" s="4">
        <v>10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203</v>
      </c>
      <c r="F636" s="4">
        <f>ROUND(Source!Q624,O636)</f>
        <v>105.64</v>
      </c>
      <c r="G636" s="4" t="s">
        <v>94</v>
      </c>
      <c r="H636" s="4" t="s">
        <v>95</v>
      </c>
      <c r="I636" s="4"/>
      <c r="J636" s="4"/>
      <c r="K636" s="4">
        <v>203</v>
      </c>
      <c r="L636" s="4">
        <v>11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105.64</v>
      </c>
      <c r="X636" s="4">
        <v>1</v>
      </c>
      <c r="Y636" s="4">
        <v>105.64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231</v>
      </c>
      <c r="F637" s="4">
        <f>ROUND(Source!BB624,O637)</f>
        <v>0</v>
      </c>
      <c r="G637" s="4" t="s">
        <v>96</v>
      </c>
      <c r="H637" s="4" t="s">
        <v>97</v>
      </c>
      <c r="I637" s="4"/>
      <c r="J637" s="4"/>
      <c r="K637" s="4">
        <v>231</v>
      </c>
      <c r="L637" s="4">
        <v>12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204</v>
      </c>
      <c r="F638" s="4">
        <f>ROUND(Source!R624,O638)</f>
        <v>0.64</v>
      </c>
      <c r="G638" s="4" t="s">
        <v>98</v>
      </c>
      <c r="H638" s="4" t="s">
        <v>99</v>
      </c>
      <c r="I638" s="4"/>
      <c r="J638" s="4"/>
      <c r="K638" s="4">
        <v>204</v>
      </c>
      <c r="L638" s="4">
        <v>13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0.64</v>
      </c>
      <c r="X638" s="4">
        <v>1</v>
      </c>
      <c r="Y638" s="4">
        <v>0.64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205</v>
      </c>
      <c r="F639" s="4">
        <f>ROUND(Source!S624,O639)</f>
        <v>76453.08</v>
      </c>
      <c r="G639" s="4" t="s">
        <v>100</v>
      </c>
      <c r="H639" s="4" t="s">
        <v>101</v>
      </c>
      <c r="I639" s="4"/>
      <c r="J639" s="4"/>
      <c r="K639" s="4">
        <v>205</v>
      </c>
      <c r="L639" s="4">
        <v>14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76453.08</v>
      </c>
      <c r="X639" s="4">
        <v>1</v>
      </c>
      <c r="Y639" s="4">
        <v>76453.08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232</v>
      </c>
      <c r="F640" s="4">
        <f>ROUND(Source!BC624,O640)</f>
        <v>0</v>
      </c>
      <c r="G640" s="4" t="s">
        <v>102</v>
      </c>
      <c r="H640" s="4" t="s">
        <v>103</v>
      </c>
      <c r="I640" s="4"/>
      <c r="J640" s="4"/>
      <c r="K640" s="4">
        <v>232</v>
      </c>
      <c r="L640" s="4">
        <v>15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214</v>
      </c>
      <c r="F641" s="4">
        <f>ROUND(Source!AS624,O641)</f>
        <v>0</v>
      </c>
      <c r="G641" s="4" t="s">
        <v>104</v>
      </c>
      <c r="H641" s="4" t="s">
        <v>105</v>
      </c>
      <c r="I641" s="4"/>
      <c r="J641" s="4"/>
      <c r="K641" s="4">
        <v>214</v>
      </c>
      <c r="L641" s="4">
        <v>16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215</v>
      </c>
      <c r="F642" s="4">
        <f>ROUND(Source!AT624,O642)</f>
        <v>0</v>
      </c>
      <c r="G642" s="4" t="s">
        <v>106</v>
      </c>
      <c r="H642" s="4" t="s">
        <v>107</v>
      </c>
      <c r="I642" s="4"/>
      <c r="J642" s="4"/>
      <c r="K642" s="4">
        <v>215</v>
      </c>
      <c r="L642" s="4">
        <v>17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217</v>
      </c>
      <c r="F643" s="4">
        <f>ROUND(Source!AU624,O643)</f>
        <v>137938.35</v>
      </c>
      <c r="G643" s="4" t="s">
        <v>108</v>
      </c>
      <c r="H643" s="4" t="s">
        <v>109</v>
      </c>
      <c r="I643" s="4"/>
      <c r="J643" s="4"/>
      <c r="K643" s="4">
        <v>217</v>
      </c>
      <c r="L643" s="4">
        <v>18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137938.35</v>
      </c>
      <c r="X643" s="4">
        <v>1</v>
      </c>
      <c r="Y643" s="4">
        <v>137938.35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230</v>
      </c>
      <c r="F644" s="4">
        <f>ROUND(Source!BA624,O644)</f>
        <v>0</v>
      </c>
      <c r="G644" s="4" t="s">
        <v>110</v>
      </c>
      <c r="H644" s="4" t="s">
        <v>111</v>
      </c>
      <c r="I644" s="4"/>
      <c r="J644" s="4"/>
      <c r="K644" s="4">
        <v>230</v>
      </c>
      <c r="L644" s="4">
        <v>19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206</v>
      </c>
      <c r="F645" s="4">
        <f>ROUND(Source!T624,O645)</f>
        <v>0</v>
      </c>
      <c r="G645" s="4" t="s">
        <v>112</v>
      </c>
      <c r="H645" s="4" t="s">
        <v>113</v>
      </c>
      <c r="I645" s="4"/>
      <c r="J645" s="4"/>
      <c r="K645" s="4">
        <v>206</v>
      </c>
      <c r="L645" s="4">
        <v>20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207</v>
      </c>
      <c r="F646" s="4">
        <f>Source!U624</f>
        <v>134.12</v>
      </c>
      <c r="G646" s="4" t="s">
        <v>114</v>
      </c>
      <c r="H646" s="4" t="s">
        <v>115</v>
      </c>
      <c r="I646" s="4"/>
      <c r="J646" s="4"/>
      <c r="K646" s="4">
        <v>207</v>
      </c>
      <c r="L646" s="4">
        <v>21</v>
      </c>
      <c r="M646" s="4">
        <v>3</v>
      </c>
      <c r="N646" s="4" t="s">
        <v>3</v>
      </c>
      <c r="O646" s="4">
        <v>-1</v>
      </c>
      <c r="P646" s="4"/>
      <c r="Q646" s="4"/>
      <c r="R646" s="4"/>
      <c r="S646" s="4"/>
      <c r="T646" s="4"/>
      <c r="U646" s="4"/>
      <c r="V646" s="4"/>
      <c r="W646" s="4">
        <v>134.12</v>
      </c>
      <c r="X646" s="4">
        <v>1</v>
      </c>
      <c r="Y646" s="4">
        <v>134.12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208</v>
      </c>
      <c r="F647" s="4">
        <f>Source!V624</f>
        <v>0</v>
      </c>
      <c r="G647" s="4" t="s">
        <v>116</v>
      </c>
      <c r="H647" s="4" t="s">
        <v>117</v>
      </c>
      <c r="I647" s="4"/>
      <c r="J647" s="4"/>
      <c r="K647" s="4">
        <v>208</v>
      </c>
      <c r="L647" s="4">
        <v>22</v>
      </c>
      <c r="M647" s="4">
        <v>3</v>
      </c>
      <c r="N647" s="4" t="s">
        <v>3</v>
      </c>
      <c r="O647" s="4">
        <v>-1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209</v>
      </c>
      <c r="F648" s="4">
        <f>ROUND(Source!W624,O648)</f>
        <v>0</v>
      </c>
      <c r="G648" s="4" t="s">
        <v>118</v>
      </c>
      <c r="H648" s="4" t="s">
        <v>119</v>
      </c>
      <c r="I648" s="4"/>
      <c r="J648" s="4"/>
      <c r="K648" s="4">
        <v>209</v>
      </c>
      <c r="L648" s="4">
        <v>23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233</v>
      </c>
      <c r="F649" s="4">
        <f>ROUND(Source!BD624,O649)</f>
        <v>0</v>
      </c>
      <c r="G649" s="4" t="s">
        <v>120</v>
      </c>
      <c r="H649" s="4" t="s">
        <v>121</v>
      </c>
      <c r="I649" s="4"/>
      <c r="J649" s="4"/>
      <c r="K649" s="4">
        <v>233</v>
      </c>
      <c r="L649" s="4">
        <v>24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0</v>
      </c>
      <c r="X649" s="4">
        <v>1</v>
      </c>
      <c r="Y649" s="4">
        <v>0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210</v>
      </c>
      <c r="F650" s="4">
        <f>ROUND(Source!X624,O650)</f>
        <v>53517.15</v>
      </c>
      <c r="G650" s="4" t="s">
        <v>122</v>
      </c>
      <c r="H650" s="4" t="s">
        <v>123</v>
      </c>
      <c r="I650" s="4"/>
      <c r="J650" s="4"/>
      <c r="K650" s="4">
        <v>210</v>
      </c>
      <c r="L650" s="4">
        <v>25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53517.15</v>
      </c>
      <c r="X650" s="4">
        <v>1</v>
      </c>
      <c r="Y650" s="4">
        <v>53517.15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211</v>
      </c>
      <c r="F651" s="4">
        <f>ROUND(Source!Y624,O651)</f>
        <v>7645.31</v>
      </c>
      <c r="G651" s="4" t="s">
        <v>124</v>
      </c>
      <c r="H651" s="4" t="s">
        <v>125</v>
      </c>
      <c r="I651" s="4"/>
      <c r="J651" s="4"/>
      <c r="K651" s="4">
        <v>211</v>
      </c>
      <c r="L651" s="4">
        <v>26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7645.31</v>
      </c>
      <c r="X651" s="4">
        <v>1</v>
      </c>
      <c r="Y651" s="4">
        <v>7645.31</v>
      </c>
      <c r="Z651" s="4"/>
      <c r="AA651" s="4"/>
      <c r="AB651" s="4"/>
    </row>
    <row r="652" spans="1:206" x14ac:dyDescent="0.2">
      <c r="A652" s="4">
        <v>50</v>
      </c>
      <c r="B652" s="4">
        <v>0</v>
      </c>
      <c r="C652" s="4">
        <v>0</v>
      </c>
      <c r="D652" s="4">
        <v>1</v>
      </c>
      <c r="E652" s="4">
        <v>224</v>
      </c>
      <c r="F652" s="4">
        <f>ROUND(Source!AR624,O652)</f>
        <v>137938.35</v>
      </c>
      <c r="G652" s="4" t="s">
        <v>126</v>
      </c>
      <c r="H652" s="4" t="s">
        <v>127</v>
      </c>
      <c r="I652" s="4"/>
      <c r="J652" s="4"/>
      <c r="K652" s="4">
        <v>224</v>
      </c>
      <c r="L652" s="4">
        <v>27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137938.35</v>
      </c>
      <c r="X652" s="4">
        <v>1</v>
      </c>
      <c r="Y652" s="4">
        <v>137938.35</v>
      </c>
      <c r="Z652" s="4"/>
      <c r="AA652" s="4"/>
      <c r="AB652" s="4"/>
    </row>
    <row r="654" spans="1:206" x14ac:dyDescent="0.2">
      <c r="A654" s="2">
        <v>51</v>
      </c>
      <c r="B654" s="2">
        <f>B12</f>
        <v>693</v>
      </c>
      <c r="C654" s="2">
        <f>A12</f>
        <v>1</v>
      </c>
      <c r="D654" s="2">
        <f>ROW(A12)</f>
        <v>12</v>
      </c>
      <c r="E654" s="2"/>
      <c r="F654" s="2" t="str">
        <f>IF(F12&lt;&gt;"",F12,"")</f>
        <v>Новый объект_(Копия)_(Копия)</v>
      </c>
      <c r="G654" s="2" t="str">
        <f>IF(G12&lt;&gt;"",G12,"")</f>
        <v>6.5.1_Ж/Д вокзал и депо_на 4 месяца</v>
      </c>
      <c r="H654" s="2">
        <v>0</v>
      </c>
      <c r="I654" s="2"/>
      <c r="J654" s="2"/>
      <c r="K654" s="2"/>
      <c r="L654" s="2"/>
      <c r="M654" s="2"/>
      <c r="N654" s="2"/>
      <c r="O654" s="2">
        <f t="shared" ref="O654:T654" si="453">ROUND(O303+O473+O624,2)</f>
        <v>884258.08</v>
      </c>
      <c r="P654" s="2">
        <f t="shared" si="453"/>
        <v>13331.47</v>
      </c>
      <c r="Q654" s="2">
        <f t="shared" si="453"/>
        <v>47512.15</v>
      </c>
      <c r="R654" s="2">
        <f t="shared" si="453"/>
        <v>25700.400000000001</v>
      </c>
      <c r="S654" s="2">
        <f t="shared" si="453"/>
        <v>823414.46</v>
      </c>
      <c r="T654" s="2">
        <f t="shared" si="453"/>
        <v>0</v>
      </c>
      <c r="U654" s="2">
        <f>U303+U473+U624</f>
        <v>1565.0674599999998</v>
      </c>
      <c r="V654" s="2">
        <f>V303+V473+V624</f>
        <v>0</v>
      </c>
      <c r="W654" s="2">
        <f>ROUND(W303+W473+W624,2)</f>
        <v>0</v>
      </c>
      <c r="X654" s="2">
        <f>ROUND(X303+X473+X624,2)</f>
        <v>576390.16</v>
      </c>
      <c r="Y654" s="2">
        <f>ROUND(Y303+Y473+Y624,2)</f>
        <v>82341.490000000005</v>
      </c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>
        <f t="shared" ref="AO654:BD654" si="454">ROUND(AO303+AO473+AO624,2)</f>
        <v>0</v>
      </c>
      <c r="AP654" s="2">
        <f t="shared" si="454"/>
        <v>0</v>
      </c>
      <c r="AQ654" s="2">
        <f t="shared" si="454"/>
        <v>0</v>
      </c>
      <c r="AR654" s="2">
        <f t="shared" si="454"/>
        <v>1570746.16</v>
      </c>
      <c r="AS654" s="2">
        <f t="shared" si="454"/>
        <v>0</v>
      </c>
      <c r="AT654" s="2">
        <f t="shared" si="454"/>
        <v>0</v>
      </c>
      <c r="AU654" s="2">
        <f t="shared" si="454"/>
        <v>1570746.16</v>
      </c>
      <c r="AV654" s="2">
        <f t="shared" si="454"/>
        <v>13331.47</v>
      </c>
      <c r="AW654" s="2">
        <f t="shared" si="454"/>
        <v>13331.47</v>
      </c>
      <c r="AX654" s="2">
        <f t="shared" si="454"/>
        <v>0</v>
      </c>
      <c r="AY654" s="2">
        <f t="shared" si="454"/>
        <v>13331.47</v>
      </c>
      <c r="AZ654" s="2">
        <f t="shared" si="454"/>
        <v>0</v>
      </c>
      <c r="BA654" s="2">
        <f t="shared" si="454"/>
        <v>0</v>
      </c>
      <c r="BB654" s="2">
        <f t="shared" si="454"/>
        <v>0</v>
      </c>
      <c r="BC654" s="2">
        <f t="shared" si="454"/>
        <v>0</v>
      </c>
      <c r="BD654" s="2">
        <f t="shared" si="454"/>
        <v>0</v>
      </c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3"/>
      <c r="DH654" s="3"/>
      <c r="DI654" s="3"/>
      <c r="DJ654" s="3"/>
      <c r="DK654" s="3"/>
      <c r="DL654" s="3"/>
      <c r="DM654" s="3"/>
      <c r="DN654" s="3"/>
      <c r="DO654" s="3"/>
      <c r="DP654" s="3"/>
      <c r="DQ654" s="3"/>
      <c r="DR654" s="3"/>
      <c r="DS654" s="3"/>
      <c r="DT654" s="3"/>
      <c r="DU654" s="3"/>
      <c r="DV654" s="3"/>
      <c r="DW654" s="3"/>
      <c r="DX654" s="3"/>
      <c r="DY654" s="3"/>
      <c r="DZ654" s="3"/>
      <c r="EA654" s="3"/>
      <c r="EB654" s="3"/>
      <c r="EC654" s="3"/>
      <c r="ED654" s="3"/>
      <c r="EE654" s="3"/>
      <c r="EF654" s="3"/>
      <c r="EG654" s="3"/>
      <c r="EH654" s="3"/>
      <c r="EI654" s="3"/>
      <c r="EJ654" s="3"/>
      <c r="EK654" s="3"/>
      <c r="EL654" s="3"/>
      <c r="EM654" s="3"/>
      <c r="EN654" s="3"/>
      <c r="EO654" s="3"/>
      <c r="EP654" s="3"/>
      <c r="EQ654" s="3"/>
      <c r="ER654" s="3"/>
      <c r="ES654" s="3"/>
      <c r="ET654" s="3"/>
      <c r="EU654" s="3"/>
      <c r="EV654" s="3"/>
      <c r="EW654" s="3"/>
      <c r="EX654" s="3"/>
      <c r="EY654" s="3"/>
      <c r="EZ654" s="3"/>
      <c r="FA654" s="3"/>
      <c r="FB654" s="3"/>
      <c r="FC654" s="3"/>
      <c r="FD654" s="3"/>
      <c r="FE654" s="3"/>
      <c r="FF654" s="3"/>
      <c r="FG654" s="3"/>
      <c r="FH654" s="3"/>
      <c r="FI654" s="3"/>
      <c r="FJ654" s="3"/>
      <c r="FK654" s="3"/>
      <c r="FL654" s="3"/>
      <c r="FM654" s="3"/>
      <c r="FN654" s="3"/>
      <c r="FO654" s="3"/>
      <c r="FP654" s="3"/>
      <c r="FQ654" s="3"/>
      <c r="FR654" s="3"/>
      <c r="FS654" s="3"/>
      <c r="FT654" s="3"/>
      <c r="FU654" s="3"/>
      <c r="FV654" s="3"/>
      <c r="FW654" s="3"/>
      <c r="FX654" s="3"/>
      <c r="FY654" s="3"/>
      <c r="FZ654" s="3"/>
      <c r="GA654" s="3"/>
      <c r="GB654" s="3"/>
      <c r="GC654" s="3"/>
      <c r="GD654" s="3"/>
      <c r="GE654" s="3"/>
      <c r="GF654" s="3"/>
      <c r="GG654" s="3"/>
      <c r="GH654" s="3"/>
      <c r="GI654" s="3"/>
      <c r="GJ654" s="3"/>
      <c r="GK654" s="3"/>
      <c r="GL654" s="3"/>
      <c r="GM654" s="3"/>
      <c r="GN654" s="3"/>
      <c r="GO654" s="3"/>
      <c r="GP654" s="3"/>
      <c r="GQ654" s="3"/>
      <c r="GR654" s="3"/>
      <c r="GS654" s="3"/>
      <c r="GT654" s="3"/>
      <c r="GU654" s="3"/>
      <c r="GV654" s="3"/>
      <c r="GW654" s="3"/>
      <c r="GX654" s="3">
        <v>0</v>
      </c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201</v>
      </c>
      <c r="F656" s="4">
        <f>ROUND(Source!O654,O656)</f>
        <v>884258.08</v>
      </c>
      <c r="G656" s="4" t="s">
        <v>74</v>
      </c>
      <c r="H656" s="4" t="s">
        <v>75</v>
      </c>
      <c r="I656" s="4"/>
      <c r="J656" s="4"/>
      <c r="K656" s="4">
        <v>201</v>
      </c>
      <c r="L656" s="4">
        <v>1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884258.08</v>
      </c>
      <c r="X656" s="4">
        <v>1</v>
      </c>
      <c r="Y656" s="4">
        <v>884258.08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202</v>
      </c>
      <c r="F657" s="4">
        <f>ROUND(Source!P654,O657)</f>
        <v>13331.47</v>
      </c>
      <c r="G657" s="4" t="s">
        <v>76</v>
      </c>
      <c r="H657" s="4" t="s">
        <v>77</v>
      </c>
      <c r="I657" s="4"/>
      <c r="J657" s="4"/>
      <c r="K657" s="4">
        <v>202</v>
      </c>
      <c r="L657" s="4">
        <v>2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13331.47</v>
      </c>
      <c r="X657" s="4">
        <v>1</v>
      </c>
      <c r="Y657" s="4">
        <v>13331.47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222</v>
      </c>
      <c r="F658" s="4">
        <f>ROUND(Source!AO654,O658)</f>
        <v>0</v>
      </c>
      <c r="G658" s="4" t="s">
        <v>78</v>
      </c>
      <c r="H658" s="4" t="s">
        <v>79</v>
      </c>
      <c r="I658" s="4"/>
      <c r="J658" s="4"/>
      <c r="K658" s="4">
        <v>222</v>
      </c>
      <c r="L658" s="4">
        <v>3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225</v>
      </c>
      <c r="F659" s="4">
        <f>ROUND(Source!AV654,O659)</f>
        <v>13331.47</v>
      </c>
      <c r="G659" s="4" t="s">
        <v>80</v>
      </c>
      <c r="H659" s="4" t="s">
        <v>81</v>
      </c>
      <c r="I659" s="4"/>
      <c r="J659" s="4"/>
      <c r="K659" s="4">
        <v>225</v>
      </c>
      <c r="L659" s="4">
        <v>4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13331.47</v>
      </c>
      <c r="X659" s="4">
        <v>1</v>
      </c>
      <c r="Y659" s="4">
        <v>13331.47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226</v>
      </c>
      <c r="F660" s="4">
        <f>ROUND(Source!AW654,O660)</f>
        <v>13331.47</v>
      </c>
      <c r="G660" s="4" t="s">
        <v>82</v>
      </c>
      <c r="H660" s="4" t="s">
        <v>83</v>
      </c>
      <c r="I660" s="4"/>
      <c r="J660" s="4"/>
      <c r="K660" s="4">
        <v>226</v>
      </c>
      <c r="L660" s="4">
        <v>5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13331.47</v>
      </c>
      <c r="X660" s="4">
        <v>1</v>
      </c>
      <c r="Y660" s="4">
        <v>13331.47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227</v>
      </c>
      <c r="F661" s="4">
        <f>ROUND(Source!AX654,O661)</f>
        <v>0</v>
      </c>
      <c r="G661" s="4" t="s">
        <v>84</v>
      </c>
      <c r="H661" s="4" t="s">
        <v>85</v>
      </c>
      <c r="I661" s="4"/>
      <c r="J661" s="4"/>
      <c r="K661" s="4">
        <v>227</v>
      </c>
      <c r="L661" s="4">
        <v>6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228</v>
      </c>
      <c r="F662" s="4">
        <f>ROUND(Source!AY654,O662)</f>
        <v>13331.47</v>
      </c>
      <c r="G662" s="4" t="s">
        <v>86</v>
      </c>
      <c r="H662" s="4" t="s">
        <v>87</v>
      </c>
      <c r="I662" s="4"/>
      <c r="J662" s="4"/>
      <c r="K662" s="4">
        <v>228</v>
      </c>
      <c r="L662" s="4">
        <v>7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13331.47</v>
      </c>
      <c r="X662" s="4">
        <v>1</v>
      </c>
      <c r="Y662" s="4">
        <v>13331.47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216</v>
      </c>
      <c r="F663" s="4">
        <f>ROUND(Source!AP654,O663)</f>
        <v>0</v>
      </c>
      <c r="G663" s="4" t="s">
        <v>88</v>
      </c>
      <c r="H663" s="4" t="s">
        <v>89</v>
      </c>
      <c r="I663" s="4"/>
      <c r="J663" s="4"/>
      <c r="K663" s="4">
        <v>216</v>
      </c>
      <c r="L663" s="4">
        <v>8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223</v>
      </c>
      <c r="F664" s="4">
        <f>ROUND(Source!AQ654,O664)</f>
        <v>0</v>
      </c>
      <c r="G664" s="4" t="s">
        <v>90</v>
      </c>
      <c r="H664" s="4" t="s">
        <v>91</v>
      </c>
      <c r="I664" s="4"/>
      <c r="J664" s="4"/>
      <c r="K664" s="4">
        <v>223</v>
      </c>
      <c r="L664" s="4">
        <v>9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229</v>
      </c>
      <c r="F665" s="4">
        <f>ROUND(Source!AZ654,O665)</f>
        <v>0</v>
      </c>
      <c r="G665" s="4" t="s">
        <v>92</v>
      </c>
      <c r="H665" s="4" t="s">
        <v>93</v>
      </c>
      <c r="I665" s="4"/>
      <c r="J665" s="4"/>
      <c r="K665" s="4">
        <v>229</v>
      </c>
      <c r="L665" s="4">
        <v>10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203</v>
      </c>
      <c r="F666" s="4">
        <f>ROUND(Source!Q654,O666)</f>
        <v>47512.15</v>
      </c>
      <c r="G666" s="4" t="s">
        <v>94</v>
      </c>
      <c r="H666" s="4" t="s">
        <v>95</v>
      </c>
      <c r="I666" s="4"/>
      <c r="J666" s="4"/>
      <c r="K666" s="4">
        <v>203</v>
      </c>
      <c r="L666" s="4">
        <v>11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47512.15</v>
      </c>
      <c r="X666" s="4">
        <v>1</v>
      </c>
      <c r="Y666" s="4">
        <v>47512.15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231</v>
      </c>
      <c r="F667" s="4">
        <f>ROUND(Source!BB654,O667)</f>
        <v>0</v>
      </c>
      <c r="G667" s="4" t="s">
        <v>96</v>
      </c>
      <c r="H667" s="4" t="s">
        <v>97</v>
      </c>
      <c r="I667" s="4"/>
      <c r="J667" s="4"/>
      <c r="K667" s="4">
        <v>231</v>
      </c>
      <c r="L667" s="4">
        <v>12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204</v>
      </c>
      <c r="F668" s="4">
        <f>ROUND(Source!R654,O668)</f>
        <v>25700.400000000001</v>
      </c>
      <c r="G668" s="4" t="s">
        <v>98</v>
      </c>
      <c r="H668" s="4" t="s">
        <v>99</v>
      </c>
      <c r="I668" s="4"/>
      <c r="J668" s="4"/>
      <c r="K668" s="4">
        <v>204</v>
      </c>
      <c r="L668" s="4">
        <v>13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25700.400000000001</v>
      </c>
      <c r="X668" s="4">
        <v>1</v>
      </c>
      <c r="Y668" s="4">
        <v>25700.400000000001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205</v>
      </c>
      <c r="F669" s="4">
        <f>ROUND(Source!S654,O669)</f>
        <v>823414.46</v>
      </c>
      <c r="G669" s="4" t="s">
        <v>100</v>
      </c>
      <c r="H669" s="4" t="s">
        <v>101</v>
      </c>
      <c r="I669" s="4"/>
      <c r="J669" s="4"/>
      <c r="K669" s="4">
        <v>205</v>
      </c>
      <c r="L669" s="4">
        <v>14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823414.46</v>
      </c>
      <c r="X669" s="4">
        <v>1</v>
      </c>
      <c r="Y669" s="4">
        <v>823414.46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232</v>
      </c>
      <c r="F670" s="4">
        <f>ROUND(Source!BC654,O670)</f>
        <v>0</v>
      </c>
      <c r="G670" s="4" t="s">
        <v>102</v>
      </c>
      <c r="H670" s="4" t="s">
        <v>103</v>
      </c>
      <c r="I670" s="4"/>
      <c r="J670" s="4"/>
      <c r="K670" s="4">
        <v>232</v>
      </c>
      <c r="L670" s="4">
        <v>15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214</v>
      </c>
      <c r="F671" s="4">
        <f>ROUND(Source!AS654,O671)</f>
        <v>0</v>
      </c>
      <c r="G671" s="4" t="s">
        <v>104</v>
      </c>
      <c r="H671" s="4" t="s">
        <v>105</v>
      </c>
      <c r="I671" s="4"/>
      <c r="J671" s="4"/>
      <c r="K671" s="4">
        <v>214</v>
      </c>
      <c r="L671" s="4">
        <v>16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215</v>
      </c>
      <c r="F672" s="4">
        <f>ROUND(Source!AT654,O672)</f>
        <v>0</v>
      </c>
      <c r="G672" s="4" t="s">
        <v>106</v>
      </c>
      <c r="H672" s="4" t="s">
        <v>107</v>
      </c>
      <c r="I672" s="4"/>
      <c r="J672" s="4"/>
      <c r="K672" s="4">
        <v>215</v>
      </c>
      <c r="L672" s="4">
        <v>17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217</v>
      </c>
      <c r="F673" s="4">
        <f>ROUND(Source!AU654,O673)</f>
        <v>1570746.16</v>
      </c>
      <c r="G673" s="4" t="s">
        <v>108</v>
      </c>
      <c r="H673" s="4" t="s">
        <v>109</v>
      </c>
      <c r="I673" s="4"/>
      <c r="J673" s="4"/>
      <c r="K673" s="4">
        <v>217</v>
      </c>
      <c r="L673" s="4">
        <v>18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1570746.16</v>
      </c>
      <c r="X673" s="4">
        <v>1</v>
      </c>
      <c r="Y673" s="4">
        <v>1570746.16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230</v>
      </c>
      <c r="F674" s="4">
        <f>ROUND(Source!BA654,O674)</f>
        <v>0</v>
      </c>
      <c r="G674" s="4" t="s">
        <v>110</v>
      </c>
      <c r="H674" s="4" t="s">
        <v>111</v>
      </c>
      <c r="I674" s="4"/>
      <c r="J674" s="4"/>
      <c r="K674" s="4">
        <v>230</v>
      </c>
      <c r="L674" s="4">
        <v>19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206</v>
      </c>
      <c r="F675" s="4">
        <f>ROUND(Source!T654,O675)</f>
        <v>0</v>
      </c>
      <c r="G675" s="4" t="s">
        <v>112</v>
      </c>
      <c r="H675" s="4" t="s">
        <v>113</v>
      </c>
      <c r="I675" s="4"/>
      <c r="J675" s="4"/>
      <c r="K675" s="4">
        <v>206</v>
      </c>
      <c r="L675" s="4">
        <v>20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207</v>
      </c>
      <c r="F676" s="4">
        <f>Source!U654</f>
        <v>1565.0674599999998</v>
      </c>
      <c r="G676" s="4" t="s">
        <v>114</v>
      </c>
      <c r="H676" s="4" t="s">
        <v>115</v>
      </c>
      <c r="I676" s="4"/>
      <c r="J676" s="4"/>
      <c r="K676" s="4">
        <v>207</v>
      </c>
      <c r="L676" s="4">
        <v>21</v>
      </c>
      <c r="M676" s="4">
        <v>3</v>
      </c>
      <c r="N676" s="4" t="s">
        <v>3</v>
      </c>
      <c r="O676" s="4">
        <v>-1</v>
      </c>
      <c r="P676" s="4"/>
      <c r="Q676" s="4"/>
      <c r="R676" s="4"/>
      <c r="S676" s="4"/>
      <c r="T676" s="4"/>
      <c r="U676" s="4"/>
      <c r="V676" s="4"/>
      <c r="W676" s="4">
        <v>1565.0674600000007</v>
      </c>
      <c r="X676" s="4">
        <v>1</v>
      </c>
      <c r="Y676" s="4">
        <v>1565.0674600000007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208</v>
      </c>
      <c r="F677" s="4">
        <f>Source!V654</f>
        <v>0</v>
      </c>
      <c r="G677" s="4" t="s">
        <v>116</v>
      </c>
      <c r="H677" s="4" t="s">
        <v>117</v>
      </c>
      <c r="I677" s="4"/>
      <c r="J677" s="4"/>
      <c r="K677" s="4">
        <v>208</v>
      </c>
      <c r="L677" s="4">
        <v>22</v>
      </c>
      <c r="M677" s="4">
        <v>3</v>
      </c>
      <c r="N677" s="4" t="s">
        <v>3</v>
      </c>
      <c r="O677" s="4">
        <v>-1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209</v>
      </c>
      <c r="F678" s="4">
        <f>ROUND(Source!W654,O678)</f>
        <v>0</v>
      </c>
      <c r="G678" s="4" t="s">
        <v>118</v>
      </c>
      <c r="H678" s="4" t="s">
        <v>119</v>
      </c>
      <c r="I678" s="4"/>
      <c r="J678" s="4"/>
      <c r="K678" s="4">
        <v>209</v>
      </c>
      <c r="L678" s="4">
        <v>23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233</v>
      </c>
      <c r="F679" s="4">
        <f>ROUND(Source!BD654,O679)</f>
        <v>0</v>
      </c>
      <c r="G679" s="4" t="s">
        <v>120</v>
      </c>
      <c r="H679" s="4" t="s">
        <v>121</v>
      </c>
      <c r="I679" s="4"/>
      <c r="J679" s="4"/>
      <c r="K679" s="4">
        <v>233</v>
      </c>
      <c r="L679" s="4">
        <v>24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210</v>
      </c>
      <c r="F680" s="4">
        <f>ROUND(Source!X654,O680)</f>
        <v>576390.16</v>
      </c>
      <c r="G680" s="4" t="s">
        <v>122</v>
      </c>
      <c r="H680" s="4" t="s">
        <v>123</v>
      </c>
      <c r="I680" s="4"/>
      <c r="J680" s="4"/>
      <c r="K680" s="4">
        <v>210</v>
      </c>
      <c r="L680" s="4">
        <v>25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576390.16</v>
      </c>
      <c r="X680" s="4">
        <v>1</v>
      </c>
      <c r="Y680" s="4">
        <v>576390.16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211</v>
      </c>
      <c r="F681" s="4">
        <f>ROUND(Source!Y654,O681)</f>
        <v>82341.490000000005</v>
      </c>
      <c r="G681" s="4" t="s">
        <v>124</v>
      </c>
      <c r="H681" s="4" t="s">
        <v>125</v>
      </c>
      <c r="I681" s="4"/>
      <c r="J681" s="4"/>
      <c r="K681" s="4">
        <v>211</v>
      </c>
      <c r="L681" s="4">
        <v>26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82341.490000000005</v>
      </c>
      <c r="X681" s="4">
        <v>1</v>
      </c>
      <c r="Y681" s="4">
        <v>82341.490000000005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224</v>
      </c>
      <c r="F682" s="4">
        <f>ROUND(Source!AR654,O682)</f>
        <v>1570746.16</v>
      </c>
      <c r="G682" s="4" t="s">
        <v>126</v>
      </c>
      <c r="H682" s="4" t="s">
        <v>127</v>
      </c>
      <c r="I682" s="4"/>
      <c r="J682" s="4"/>
      <c r="K682" s="4">
        <v>224</v>
      </c>
      <c r="L682" s="4">
        <v>27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1570746.16</v>
      </c>
      <c r="X682" s="4">
        <v>1</v>
      </c>
      <c r="Y682" s="4">
        <v>1570746.16</v>
      </c>
      <c r="Z682" s="4"/>
      <c r="AA682" s="4"/>
      <c r="AB682" s="4"/>
    </row>
    <row r="683" spans="1:28" x14ac:dyDescent="0.2">
      <c r="A683" s="4">
        <v>50</v>
      </c>
      <c r="B683" s="4">
        <v>1</v>
      </c>
      <c r="C683" s="4">
        <v>0</v>
      </c>
      <c r="D683" s="4">
        <v>2</v>
      </c>
      <c r="E683" s="4">
        <v>0</v>
      </c>
      <c r="F683" s="4">
        <f>ROUND(F682,O683)</f>
        <v>1570746.16</v>
      </c>
      <c r="G683" s="4" t="s">
        <v>439</v>
      </c>
      <c r="H683" s="4" t="s">
        <v>440</v>
      </c>
      <c r="I683" s="4"/>
      <c r="J683" s="4"/>
      <c r="K683" s="4">
        <v>212</v>
      </c>
      <c r="L683" s="4">
        <v>28</v>
      </c>
      <c r="M683" s="4">
        <v>0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1570746.16</v>
      </c>
      <c r="X683" s="4">
        <v>1</v>
      </c>
      <c r="Y683" s="4">
        <v>1570746.16</v>
      </c>
      <c r="Z683" s="4"/>
      <c r="AA683" s="4"/>
      <c r="AB683" s="4"/>
    </row>
    <row r="684" spans="1:28" x14ac:dyDescent="0.2">
      <c r="A684" s="4">
        <v>50</v>
      </c>
      <c r="B684" s="4">
        <v>1</v>
      </c>
      <c r="C684" s="4">
        <v>0</v>
      </c>
      <c r="D684" s="4">
        <v>2</v>
      </c>
      <c r="E684" s="4">
        <v>0</v>
      </c>
      <c r="F684" s="4">
        <f>ROUND(F683*0.2,O684)</f>
        <v>314149.23</v>
      </c>
      <c r="G684" s="4" t="s">
        <v>441</v>
      </c>
      <c r="H684" s="4" t="s">
        <v>442</v>
      </c>
      <c r="I684" s="4"/>
      <c r="J684" s="4"/>
      <c r="K684" s="4">
        <v>212</v>
      </c>
      <c r="L684" s="4">
        <v>29</v>
      </c>
      <c r="M684" s="4">
        <v>0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314149.23</v>
      </c>
      <c r="X684" s="4">
        <v>1</v>
      </c>
      <c r="Y684" s="4">
        <v>314149.23</v>
      </c>
      <c r="Z684" s="4"/>
      <c r="AA684" s="4"/>
      <c r="AB684" s="4"/>
    </row>
    <row r="685" spans="1:28" x14ac:dyDescent="0.2">
      <c r="A685" s="4">
        <v>50</v>
      </c>
      <c r="B685" s="4">
        <v>1</v>
      </c>
      <c r="C685" s="4">
        <v>0</v>
      </c>
      <c r="D685" s="4">
        <v>2</v>
      </c>
      <c r="E685" s="4">
        <v>0</v>
      </c>
      <c r="F685" s="4">
        <f>ROUND(F683+F684,O685)</f>
        <v>1884895.39</v>
      </c>
      <c r="G685" s="4" t="s">
        <v>443</v>
      </c>
      <c r="H685" s="4" t="s">
        <v>444</v>
      </c>
      <c r="I685" s="4"/>
      <c r="J685" s="4"/>
      <c r="K685" s="4">
        <v>212</v>
      </c>
      <c r="L685" s="4">
        <v>30</v>
      </c>
      <c r="M685" s="4">
        <v>0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1884895.39</v>
      </c>
      <c r="X685" s="4">
        <v>1</v>
      </c>
      <c r="Y685" s="4">
        <v>1884895.39</v>
      </c>
      <c r="Z685" s="4"/>
      <c r="AA685" s="4"/>
      <c r="AB685" s="4"/>
    </row>
    <row r="687" spans="1:28" x14ac:dyDescent="0.2">
      <c r="A687" s="5">
        <v>61</v>
      </c>
      <c r="B687" s="5"/>
      <c r="C687" s="5"/>
      <c r="D687" s="5"/>
      <c r="E687" s="5"/>
      <c r="F687" s="5">
        <v>0</v>
      </c>
      <c r="G687" s="5" t="s">
        <v>3</v>
      </c>
      <c r="H687" s="5" t="s">
        <v>3</v>
      </c>
    </row>
    <row r="688" spans="1:28" x14ac:dyDescent="0.2">
      <c r="A688" s="5">
        <v>61</v>
      </c>
      <c r="B688" s="5"/>
      <c r="C688" s="5"/>
      <c r="D688" s="5"/>
      <c r="E688" s="5"/>
      <c r="F688" s="5">
        <v>0</v>
      </c>
      <c r="G688" s="5" t="s">
        <v>445</v>
      </c>
      <c r="H688" s="5" t="s">
        <v>446</v>
      </c>
    </row>
    <row r="691" spans="1:15" x14ac:dyDescent="0.2">
      <c r="A691">
        <v>-1</v>
      </c>
    </row>
    <row r="693" spans="1:15" x14ac:dyDescent="0.2">
      <c r="A693" s="3">
        <v>75</v>
      </c>
      <c r="B693" s="3" t="s">
        <v>447</v>
      </c>
      <c r="C693" s="3">
        <v>2025</v>
      </c>
      <c r="D693" s="3">
        <v>0</v>
      </c>
      <c r="E693" s="3">
        <v>4</v>
      </c>
      <c r="F693" s="3"/>
      <c r="G693" s="3">
        <v>0</v>
      </c>
      <c r="H693" s="3">
        <v>1</v>
      </c>
      <c r="I693" s="3">
        <v>0</v>
      </c>
      <c r="J693" s="3">
        <v>1</v>
      </c>
      <c r="K693" s="3">
        <v>78</v>
      </c>
      <c r="L693" s="3">
        <v>30</v>
      </c>
      <c r="M693" s="3">
        <v>0</v>
      </c>
      <c r="N693" s="3">
        <v>1407491423</v>
      </c>
      <c r="O693" s="3">
        <v>1</v>
      </c>
    </row>
    <row r="697" spans="1:15" x14ac:dyDescent="0.2">
      <c r="A697">
        <v>65</v>
      </c>
      <c r="C697">
        <v>1</v>
      </c>
      <c r="D697">
        <v>0</v>
      </c>
      <c r="E69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448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6</v>
      </c>
      <c r="P1">
        <v>5</v>
      </c>
      <c r="Q1">
        <v>5</v>
      </c>
    </row>
    <row r="12" spans="1:133" x14ac:dyDescent="0.2">
      <c r="A12" s="1">
        <v>1</v>
      </c>
      <c r="B12" s="1">
        <v>56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1407491423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3</v>
      </c>
      <c r="D16" s="6" t="s">
        <v>12</v>
      </c>
      <c r="E16" s="7">
        <f>ROUND((Source!F320)/1000,2)</f>
        <v>0</v>
      </c>
      <c r="F16" s="7">
        <f>ROUND((Source!F321)/1000,2)</f>
        <v>0</v>
      </c>
      <c r="G16" s="7">
        <f>ROUND((Source!F312)/1000,2)</f>
        <v>0</v>
      </c>
      <c r="H16" s="7">
        <f>ROUND((Source!F322)/1000+(Source!F323)/1000,2)</f>
        <v>1176.52</v>
      </c>
      <c r="I16" s="7">
        <f>E16+F16+G16+H16</f>
        <v>1176.52</v>
      </c>
      <c r="J16" s="7">
        <f>ROUND((Source!F318+Source!F317)/1000,2)</f>
        <v>631.97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664349.93999999994</v>
      </c>
      <c r="AU16" s="7">
        <v>12475.17</v>
      </c>
      <c r="AV16" s="7">
        <v>0</v>
      </c>
      <c r="AW16" s="7">
        <v>0</v>
      </c>
      <c r="AX16" s="7">
        <v>0</v>
      </c>
      <c r="AY16" s="7">
        <v>43471.69</v>
      </c>
      <c r="AZ16" s="7">
        <v>23565.42</v>
      </c>
      <c r="BA16" s="7">
        <v>608403.07999999996</v>
      </c>
      <c r="BB16" s="7">
        <v>0</v>
      </c>
      <c r="BC16" s="7">
        <v>0</v>
      </c>
      <c r="BD16" s="7">
        <v>1176523.1100000001</v>
      </c>
      <c r="BE16" s="7">
        <v>0</v>
      </c>
      <c r="BF16" s="7">
        <v>1219.2289600000004</v>
      </c>
      <c r="BG16" s="7">
        <v>0</v>
      </c>
      <c r="BH16" s="7">
        <v>0</v>
      </c>
      <c r="BI16" s="7">
        <v>425882.18</v>
      </c>
      <c r="BJ16" s="7">
        <v>60840.34</v>
      </c>
      <c r="BK16" s="7">
        <v>1176523.1100000001</v>
      </c>
    </row>
    <row r="17" spans="1:63" x14ac:dyDescent="0.2">
      <c r="A17" s="6">
        <v>3</v>
      </c>
      <c r="B17" s="6">
        <v>0</v>
      </c>
      <c r="C17" s="6" t="s">
        <v>12</v>
      </c>
      <c r="D17" s="6" t="s">
        <v>308</v>
      </c>
      <c r="E17" s="7">
        <f>ROUND((Source!F490)/1000,2)</f>
        <v>0</v>
      </c>
      <c r="F17" s="7">
        <f>ROUND((Source!F491)/1000,2)</f>
        <v>0</v>
      </c>
      <c r="G17" s="7">
        <f>ROUND((Source!F482)/1000,2)</f>
        <v>0</v>
      </c>
      <c r="H17" s="7">
        <f>ROUND((Source!F492)/1000+(Source!F493)/1000,2)</f>
        <v>256.27999999999997</v>
      </c>
      <c r="I17" s="7">
        <f>E17+F17+G17+H17</f>
        <v>256.27999999999997</v>
      </c>
      <c r="J17" s="7">
        <f>ROUND((Source!F488+Source!F487)/1000,2)</f>
        <v>140.69</v>
      </c>
      <c r="AI17" s="6">
        <v>0</v>
      </c>
      <c r="AJ17" s="6">
        <v>0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143132.94</v>
      </c>
      <c r="AU17" s="7">
        <v>639.82000000000005</v>
      </c>
      <c r="AV17" s="7">
        <v>0</v>
      </c>
      <c r="AW17" s="7">
        <v>0</v>
      </c>
      <c r="AX17" s="7">
        <v>0</v>
      </c>
      <c r="AY17" s="7">
        <v>3934.82</v>
      </c>
      <c r="AZ17" s="7">
        <v>2134.34</v>
      </c>
      <c r="BA17" s="7">
        <v>138558.29999999999</v>
      </c>
      <c r="BB17" s="7">
        <v>0</v>
      </c>
      <c r="BC17" s="7">
        <v>0</v>
      </c>
      <c r="BD17" s="7">
        <v>256284.7</v>
      </c>
      <c r="BE17" s="7">
        <v>0</v>
      </c>
      <c r="BF17" s="7">
        <v>211.71850000000003</v>
      </c>
      <c r="BG17" s="7">
        <v>0</v>
      </c>
      <c r="BH17" s="7">
        <v>0</v>
      </c>
      <c r="BI17" s="7">
        <v>96990.83</v>
      </c>
      <c r="BJ17" s="7">
        <v>13855.84</v>
      </c>
      <c r="BK17" s="7">
        <v>256284.7</v>
      </c>
    </row>
    <row r="18" spans="1:63" x14ac:dyDescent="0.2">
      <c r="A18" s="6">
        <v>3</v>
      </c>
      <c r="B18" s="6">
        <v>0</v>
      </c>
      <c r="C18" s="6" t="s">
        <v>12</v>
      </c>
      <c r="D18" s="6" t="s">
        <v>400</v>
      </c>
      <c r="E18" s="7">
        <f>ROUND((Source!F641)/1000,2)</f>
        <v>0</v>
      </c>
      <c r="F18" s="7">
        <f>ROUND((Source!F642)/1000,2)</f>
        <v>0</v>
      </c>
      <c r="G18" s="7">
        <f>ROUND((Source!F633)/1000,2)</f>
        <v>0</v>
      </c>
      <c r="H18" s="7">
        <f>ROUND((Source!F643)/1000+(Source!F644)/1000,2)</f>
        <v>137.94</v>
      </c>
      <c r="I18" s="7">
        <f>E18+F18+G18+H18</f>
        <v>137.94</v>
      </c>
      <c r="J18" s="7">
        <f>ROUND((Source!F639+Source!F638)/1000,2)</f>
        <v>76.45</v>
      </c>
      <c r="AI18" s="6">
        <v>0</v>
      </c>
      <c r="AJ18" s="6">
        <v>0</v>
      </c>
      <c r="AK18" s="6" t="s">
        <v>3</v>
      </c>
      <c r="AL18" s="6" t="s">
        <v>3</v>
      </c>
      <c r="AM18" s="6" t="s">
        <v>3</v>
      </c>
      <c r="AN18" s="6">
        <v>0</v>
      </c>
      <c r="AO18" s="6" t="s">
        <v>3</v>
      </c>
      <c r="AP18" s="6" t="s">
        <v>3</v>
      </c>
      <c r="AT18" s="7">
        <v>76775.199999999997</v>
      </c>
      <c r="AU18" s="7">
        <v>216.48</v>
      </c>
      <c r="AV18" s="7">
        <v>0</v>
      </c>
      <c r="AW18" s="7">
        <v>0</v>
      </c>
      <c r="AX18" s="7">
        <v>0</v>
      </c>
      <c r="AY18" s="7">
        <v>105.64</v>
      </c>
      <c r="AZ18" s="7">
        <v>0.64</v>
      </c>
      <c r="BA18" s="7">
        <v>76453.08</v>
      </c>
      <c r="BB18" s="7">
        <v>0</v>
      </c>
      <c r="BC18" s="7">
        <v>0</v>
      </c>
      <c r="BD18" s="7">
        <v>137938.35</v>
      </c>
      <c r="BE18" s="7">
        <v>0</v>
      </c>
      <c r="BF18" s="7">
        <v>134.12</v>
      </c>
      <c r="BG18" s="7">
        <v>0</v>
      </c>
      <c r="BH18" s="7">
        <v>0</v>
      </c>
      <c r="BI18" s="7">
        <v>53517.15</v>
      </c>
      <c r="BJ18" s="7">
        <v>7645.31</v>
      </c>
      <c r="BK18" s="7">
        <v>137938.35</v>
      </c>
    </row>
    <row r="20" spans="1:63" x14ac:dyDescent="0.2">
      <c r="A20">
        <v>51</v>
      </c>
      <c r="E20" s="5">
        <f>SUMIF(A16:A19,3,E16:E19)</f>
        <v>0</v>
      </c>
      <c r="F20" s="5">
        <f>SUMIF(A16:A19,3,F16:F19)</f>
        <v>0</v>
      </c>
      <c r="G20" s="5">
        <f>SUMIF(A16:A19,3,G16:G19)</f>
        <v>0</v>
      </c>
      <c r="H20" s="5">
        <f>SUMIF(A16:A19,3,H16:H19)</f>
        <v>1570.74</v>
      </c>
      <c r="I20" s="5">
        <f>SUMIF(A16:A19,3,I16:I19)</f>
        <v>1570.74</v>
      </c>
      <c r="J20" s="5">
        <f>SUMIF(A16:A19,3,J16:J19)</f>
        <v>849.11000000000013</v>
      </c>
      <c r="K20" s="5"/>
      <c r="L20" s="5"/>
      <c r="M20" s="5"/>
      <c r="N20" s="5"/>
      <c r="O20" s="5"/>
      <c r="P20" s="5"/>
      <c r="Q20" s="5"/>
      <c r="R20" s="5"/>
      <c r="S20" s="5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201</v>
      </c>
      <c r="F22" s="4">
        <v>884258.08</v>
      </c>
      <c r="G22" s="4" t="s">
        <v>74</v>
      </c>
      <c r="H22" s="4" t="s">
        <v>75</v>
      </c>
      <c r="I22" s="4"/>
      <c r="J22" s="4"/>
      <c r="K22" s="4">
        <v>201</v>
      </c>
      <c r="L22" s="4">
        <v>1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202</v>
      </c>
      <c r="F23" s="4">
        <v>13331.47</v>
      </c>
      <c r="G23" s="4" t="s">
        <v>76</v>
      </c>
      <c r="H23" s="4" t="s">
        <v>77</v>
      </c>
      <c r="I23" s="4"/>
      <c r="J23" s="4"/>
      <c r="K23" s="4">
        <v>202</v>
      </c>
      <c r="L23" s="4">
        <v>2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222</v>
      </c>
      <c r="F24" s="4">
        <v>0</v>
      </c>
      <c r="G24" s="4" t="s">
        <v>78</v>
      </c>
      <c r="H24" s="4" t="s">
        <v>79</v>
      </c>
      <c r="I24" s="4"/>
      <c r="J24" s="4"/>
      <c r="K24" s="4">
        <v>222</v>
      </c>
      <c r="L24" s="4">
        <v>3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225</v>
      </c>
      <c r="F25" s="4">
        <v>13331.47</v>
      </c>
      <c r="G25" s="4" t="s">
        <v>80</v>
      </c>
      <c r="H25" s="4" t="s">
        <v>81</v>
      </c>
      <c r="I25" s="4"/>
      <c r="J25" s="4"/>
      <c r="K25" s="4">
        <v>225</v>
      </c>
      <c r="L25" s="4">
        <v>4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226</v>
      </c>
      <c r="F26" s="4">
        <v>13331.47</v>
      </c>
      <c r="G26" s="4" t="s">
        <v>82</v>
      </c>
      <c r="H26" s="4" t="s">
        <v>83</v>
      </c>
      <c r="I26" s="4"/>
      <c r="J26" s="4"/>
      <c r="K26" s="4">
        <v>226</v>
      </c>
      <c r="L26" s="4">
        <v>5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227</v>
      </c>
      <c r="F27" s="4">
        <v>0</v>
      </c>
      <c r="G27" s="4" t="s">
        <v>84</v>
      </c>
      <c r="H27" s="4" t="s">
        <v>85</v>
      </c>
      <c r="I27" s="4"/>
      <c r="J27" s="4"/>
      <c r="K27" s="4">
        <v>227</v>
      </c>
      <c r="L27" s="4">
        <v>6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228</v>
      </c>
      <c r="F28" s="4">
        <v>13331.47</v>
      </c>
      <c r="G28" s="4" t="s">
        <v>86</v>
      </c>
      <c r="H28" s="4" t="s">
        <v>87</v>
      </c>
      <c r="I28" s="4"/>
      <c r="J28" s="4"/>
      <c r="K28" s="4">
        <v>228</v>
      </c>
      <c r="L28" s="4">
        <v>7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216</v>
      </c>
      <c r="F29" s="4">
        <v>0</v>
      </c>
      <c r="G29" s="4" t="s">
        <v>88</v>
      </c>
      <c r="H29" s="4" t="s">
        <v>89</v>
      </c>
      <c r="I29" s="4"/>
      <c r="J29" s="4"/>
      <c r="K29" s="4">
        <v>216</v>
      </c>
      <c r="L29" s="4">
        <v>8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223</v>
      </c>
      <c r="F30" s="4">
        <v>0</v>
      </c>
      <c r="G30" s="4" t="s">
        <v>90</v>
      </c>
      <c r="H30" s="4" t="s">
        <v>91</v>
      </c>
      <c r="I30" s="4"/>
      <c r="J30" s="4"/>
      <c r="K30" s="4">
        <v>223</v>
      </c>
      <c r="L30" s="4">
        <v>9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229</v>
      </c>
      <c r="F31" s="4">
        <v>0</v>
      </c>
      <c r="G31" s="4" t="s">
        <v>92</v>
      </c>
      <c r="H31" s="4" t="s">
        <v>93</v>
      </c>
      <c r="I31" s="4"/>
      <c r="J31" s="4"/>
      <c r="K31" s="4">
        <v>229</v>
      </c>
      <c r="L31" s="4">
        <v>10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203</v>
      </c>
      <c r="F32" s="4">
        <v>47512.15</v>
      </c>
      <c r="G32" s="4" t="s">
        <v>94</v>
      </c>
      <c r="H32" s="4" t="s">
        <v>95</v>
      </c>
      <c r="I32" s="4"/>
      <c r="J32" s="4"/>
      <c r="K32" s="4">
        <v>203</v>
      </c>
      <c r="L32" s="4">
        <v>11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231</v>
      </c>
      <c r="F33" s="4">
        <v>0</v>
      </c>
      <c r="G33" s="4" t="s">
        <v>96</v>
      </c>
      <c r="H33" s="4" t="s">
        <v>97</v>
      </c>
      <c r="I33" s="4"/>
      <c r="J33" s="4"/>
      <c r="K33" s="4">
        <v>231</v>
      </c>
      <c r="L33" s="4">
        <v>12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204</v>
      </c>
      <c r="F34" s="4">
        <v>25700.400000000001</v>
      </c>
      <c r="G34" s="4" t="s">
        <v>98</v>
      </c>
      <c r="H34" s="4" t="s">
        <v>99</v>
      </c>
      <c r="I34" s="4"/>
      <c r="J34" s="4"/>
      <c r="K34" s="4">
        <v>204</v>
      </c>
      <c r="L34" s="4">
        <v>13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205</v>
      </c>
      <c r="F35" s="4">
        <v>823414.46</v>
      </c>
      <c r="G35" s="4" t="s">
        <v>100</v>
      </c>
      <c r="H35" s="4" t="s">
        <v>101</v>
      </c>
      <c r="I35" s="4"/>
      <c r="J35" s="4"/>
      <c r="K35" s="4">
        <v>205</v>
      </c>
      <c r="L35" s="4">
        <v>14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232</v>
      </c>
      <c r="F36" s="4">
        <v>0</v>
      </c>
      <c r="G36" s="4" t="s">
        <v>102</v>
      </c>
      <c r="H36" s="4" t="s">
        <v>103</v>
      </c>
      <c r="I36" s="4"/>
      <c r="J36" s="4"/>
      <c r="K36" s="4">
        <v>232</v>
      </c>
      <c r="L36" s="4">
        <v>15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214</v>
      </c>
      <c r="F37" s="4">
        <v>0</v>
      </c>
      <c r="G37" s="4" t="s">
        <v>104</v>
      </c>
      <c r="H37" s="4" t="s">
        <v>105</v>
      </c>
      <c r="I37" s="4"/>
      <c r="J37" s="4"/>
      <c r="K37" s="4">
        <v>214</v>
      </c>
      <c r="L37" s="4">
        <v>16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215</v>
      </c>
      <c r="F38" s="4">
        <v>0</v>
      </c>
      <c r="G38" s="4" t="s">
        <v>106</v>
      </c>
      <c r="H38" s="4" t="s">
        <v>107</v>
      </c>
      <c r="I38" s="4"/>
      <c r="J38" s="4"/>
      <c r="K38" s="4">
        <v>215</v>
      </c>
      <c r="L38" s="4">
        <v>17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217</v>
      </c>
      <c r="F39" s="4">
        <v>1570746.16</v>
      </c>
      <c r="G39" s="4" t="s">
        <v>108</v>
      </c>
      <c r="H39" s="4" t="s">
        <v>109</v>
      </c>
      <c r="I39" s="4"/>
      <c r="J39" s="4"/>
      <c r="K39" s="4">
        <v>217</v>
      </c>
      <c r="L39" s="4">
        <v>18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230</v>
      </c>
      <c r="F40" s="4">
        <v>0</v>
      </c>
      <c r="G40" s="4" t="s">
        <v>110</v>
      </c>
      <c r="H40" s="4" t="s">
        <v>111</v>
      </c>
      <c r="I40" s="4"/>
      <c r="J40" s="4"/>
      <c r="K40" s="4">
        <v>230</v>
      </c>
      <c r="L40" s="4">
        <v>19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206</v>
      </c>
      <c r="F41" s="4">
        <v>0</v>
      </c>
      <c r="G41" s="4" t="s">
        <v>112</v>
      </c>
      <c r="H41" s="4" t="s">
        <v>113</v>
      </c>
      <c r="I41" s="4"/>
      <c r="J41" s="4"/>
      <c r="K41" s="4">
        <v>206</v>
      </c>
      <c r="L41" s="4">
        <v>20</v>
      </c>
      <c r="M41" s="4">
        <v>3</v>
      </c>
      <c r="N41" s="4" t="s">
        <v>3</v>
      </c>
      <c r="O41" s="4">
        <v>2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207</v>
      </c>
      <c r="F42" s="4">
        <v>1565.0674600000007</v>
      </c>
      <c r="G42" s="4" t="s">
        <v>114</v>
      </c>
      <c r="H42" s="4" t="s">
        <v>115</v>
      </c>
      <c r="I42" s="4"/>
      <c r="J42" s="4"/>
      <c r="K42" s="4">
        <v>207</v>
      </c>
      <c r="L42" s="4">
        <v>21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208</v>
      </c>
      <c r="F43" s="4">
        <v>0</v>
      </c>
      <c r="G43" s="4" t="s">
        <v>116</v>
      </c>
      <c r="H43" s="4" t="s">
        <v>117</v>
      </c>
      <c r="I43" s="4"/>
      <c r="J43" s="4"/>
      <c r="K43" s="4">
        <v>208</v>
      </c>
      <c r="L43" s="4">
        <v>22</v>
      </c>
      <c r="M43" s="4">
        <v>3</v>
      </c>
      <c r="N43" s="4" t="s">
        <v>3</v>
      </c>
      <c r="O43" s="4">
        <v>-1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209</v>
      </c>
      <c r="F44" s="4">
        <v>0</v>
      </c>
      <c r="G44" s="4" t="s">
        <v>118</v>
      </c>
      <c r="H44" s="4" t="s">
        <v>119</v>
      </c>
      <c r="I44" s="4"/>
      <c r="J44" s="4"/>
      <c r="K44" s="4">
        <v>209</v>
      </c>
      <c r="L44" s="4">
        <v>23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233</v>
      </c>
      <c r="F45" s="4">
        <v>0</v>
      </c>
      <c r="G45" s="4" t="s">
        <v>120</v>
      </c>
      <c r="H45" s="4" t="s">
        <v>121</v>
      </c>
      <c r="I45" s="4"/>
      <c r="J45" s="4"/>
      <c r="K45" s="4">
        <v>233</v>
      </c>
      <c r="L45" s="4">
        <v>24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210</v>
      </c>
      <c r="F46" s="4">
        <v>576390.16</v>
      </c>
      <c r="G46" s="4" t="s">
        <v>122</v>
      </c>
      <c r="H46" s="4" t="s">
        <v>123</v>
      </c>
      <c r="I46" s="4"/>
      <c r="J46" s="4"/>
      <c r="K46" s="4">
        <v>210</v>
      </c>
      <c r="L46" s="4">
        <v>25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1</v>
      </c>
      <c r="E47" s="4">
        <v>211</v>
      </c>
      <c r="F47" s="4">
        <v>82341.490000000005</v>
      </c>
      <c r="G47" s="4" t="s">
        <v>124</v>
      </c>
      <c r="H47" s="4" t="s">
        <v>125</v>
      </c>
      <c r="I47" s="4"/>
      <c r="J47" s="4"/>
      <c r="K47" s="4">
        <v>211</v>
      </c>
      <c r="L47" s="4">
        <v>26</v>
      </c>
      <c r="M47" s="4">
        <v>3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1</v>
      </c>
      <c r="E48" s="4">
        <v>224</v>
      </c>
      <c r="F48" s="4">
        <v>1570746.16</v>
      </c>
      <c r="G48" s="4" t="s">
        <v>126</v>
      </c>
      <c r="H48" s="4" t="s">
        <v>127</v>
      </c>
      <c r="I48" s="4"/>
      <c r="J48" s="4"/>
      <c r="K48" s="4">
        <v>224</v>
      </c>
      <c r="L48" s="4">
        <v>27</v>
      </c>
      <c r="M48" s="4">
        <v>3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1570746.16</v>
      </c>
      <c r="G49" s="4" t="s">
        <v>439</v>
      </c>
      <c r="H49" s="4" t="s">
        <v>440</v>
      </c>
      <c r="I49" s="4"/>
      <c r="J49" s="4"/>
      <c r="K49" s="4">
        <v>212</v>
      </c>
      <c r="L49" s="4">
        <v>28</v>
      </c>
      <c r="M49" s="4">
        <v>0</v>
      </c>
      <c r="N49" s="4" t="s">
        <v>3</v>
      </c>
      <c r="O49" s="4">
        <v>2</v>
      </c>
      <c r="P49" s="4"/>
    </row>
    <row r="50" spans="1:16" x14ac:dyDescent="0.2">
      <c r="A50" s="4">
        <v>50</v>
      </c>
      <c r="B50" s="4">
        <v>1</v>
      </c>
      <c r="C50" s="4">
        <v>0</v>
      </c>
      <c r="D50" s="4">
        <v>2</v>
      </c>
      <c r="E50" s="4">
        <v>0</v>
      </c>
      <c r="F50" s="4">
        <v>314149.23</v>
      </c>
      <c r="G50" s="4" t="s">
        <v>441</v>
      </c>
      <c r="H50" s="4" t="s">
        <v>442</v>
      </c>
      <c r="I50" s="4"/>
      <c r="J50" s="4"/>
      <c r="K50" s="4">
        <v>212</v>
      </c>
      <c r="L50" s="4">
        <v>29</v>
      </c>
      <c r="M50" s="4">
        <v>0</v>
      </c>
      <c r="N50" s="4" t="s">
        <v>3</v>
      </c>
      <c r="O50" s="4">
        <v>2</v>
      </c>
      <c r="P50" s="4"/>
    </row>
    <row r="51" spans="1:16" x14ac:dyDescent="0.2">
      <c r="A51" s="4">
        <v>50</v>
      </c>
      <c r="B51" s="4">
        <v>1</v>
      </c>
      <c r="C51" s="4">
        <v>0</v>
      </c>
      <c r="D51" s="4">
        <v>2</v>
      </c>
      <c r="E51" s="4">
        <v>0</v>
      </c>
      <c r="F51" s="4">
        <v>1884895.39</v>
      </c>
      <c r="G51" s="4" t="s">
        <v>443</v>
      </c>
      <c r="H51" s="4" t="s">
        <v>444</v>
      </c>
      <c r="I51" s="4"/>
      <c r="J51" s="4"/>
      <c r="K51" s="4">
        <v>212</v>
      </c>
      <c r="L51" s="4">
        <v>30</v>
      </c>
      <c r="M51" s="4">
        <v>0</v>
      </c>
      <c r="N51" s="4" t="s">
        <v>3</v>
      </c>
      <c r="O51" s="4">
        <v>2</v>
      </c>
      <c r="P51" s="4"/>
    </row>
    <row r="53" spans="1:16" x14ac:dyDescent="0.2">
      <c r="A53">
        <v>-1</v>
      </c>
    </row>
    <row r="56" spans="1:16" x14ac:dyDescent="0.2">
      <c r="A56" s="3">
        <v>75</v>
      </c>
      <c r="B56" s="3" t="s">
        <v>447</v>
      </c>
      <c r="C56" s="3">
        <v>2025</v>
      </c>
      <c r="D56" s="3">
        <v>0</v>
      </c>
      <c r="E56" s="3">
        <v>4</v>
      </c>
      <c r="F56" s="3"/>
      <c r="G56" s="3">
        <v>0</v>
      </c>
      <c r="H56" s="3">
        <v>1</v>
      </c>
      <c r="I56" s="3">
        <v>0</v>
      </c>
      <c r="J56" s="3">
        <v>1</v>
      </c>
      <c r="K56" s="3">
        <v>78</v>
      </c>
      <c r="L56" s="3">
        <v>30</v>
      </c>
      <c r="M56" s="3">
        <v>0</v>
      </c>
      <c r="N56" s="3">
        <v>1407491423</v>
      </c>
      <c r="O56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30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1407492305</v>
      </c>
      <c r="C1">
        <v>1407492302</v>
      </c>
      <c r="D1">
        <v>1364549319</v>
      </c>
      <c r="E1">
        <v>39</v>
      </c>
      <c r="F1">
        <v>1</v>
      </c>
      <c r="G1">
        <v>39</v>
      </c>
      <c r="H1">
        <v>1</v>
      </c>
      <c r="I1" t="s">
        <v>449</v>
      </c>
      <c r="J1" t="s">
        <v>3</v>
      </c>
      <c r="K1" t="s">
        <v>450</v>
      </c>
      <c r="L1">
        <v>1191</v>
      </c>
      <c r="N1">
        <v>1013</v>
      </c>
      <c r="O1" t="s">
        <v>451</v>
      </c>
      <c r="P1" t="s">
        <v>451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1407492309</v>
      </c>
      <c r="C2">
        <v>1407492306</v>
      </c>
      <c r="D2">
        <v>1364549319</v>
      </c>
      <c r="E2">
        <v>39</v>
      </c>
      <c r="F2">
        <v>1</v>
      </c>
      <c r="G2">
        <v>39</v>
      </c>
      <c r="H2">
        <v>1</v>
      </c>
      <c r="I2" t="s">
        <v>449</v>
      </c>
      <c r="J2" t="s">
        <v>3</v>
      </c>
      <c r="K2" t="s">
        <v>450</v>
      </c>
      <c r="L2">
        <v>1191</v>
      </c>
      <c r="N2">
        <v>1013</v>
      </c>
      <c r="O2" t="s">
        <v>451</v>
      </c>
      <c r="P2" t="s">
        <v>451</v>
      </c>
      <c r="Q2">
        <v>1</v>
      </c>
      <c r="X2">
        <v>2.64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20</v>
      </c>
      <c r="AG2">
        <v>10.56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1407492317</v>
      </c>
      <c r="C3">
        <v>1407492310</v>
      </c>
      <c r="D3">
        <v>1364549319</v>
      </c>
      <c r="E3">
        <v>39</v>
      </c>
      <c r="F3">
        <v>1</v>
      </c>
      <c r="G3">
        <v>39</v>
      </c>
      <c r="H3">
        <v>1</v>
      </c>
      <c r="I3" t="s">
        <v>449</v>
      </c>
      <c r="J3" t="s">
        <v>3</v>
      </c>
      <c r="K3" t="s">
        <v>450</v>
      </c>
      <c r="L3">
        <v>1191</v>
      </c>
      <c r="N3">
        <v>1013</v>
      </c>
      <c r="O3" t="s">
        <v>451</v>
      </c>
      <c r="P3" t="s">
        <v>451</v>
      </c>
      <c r="Q3">
        <v>1</v>
      </c>
      <c r="X3">
        <v>2.42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2.42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1407492318</v>
      </c>
      <c r="C4">
        <v>1407492310</v>
      </c>
      <c r="D4">
        <v>1364550621</v>
      </c>
      <c r="E4">
        <v>1</v>
      </c>
      <c r="F4">
        <v>1</v>
      </c>
      <c r="G4">
        <v>39</v>
      </c>
      <c r="H4">
        <v>2</v>
      </c>
      <c r="I4" t="s">
        <v>452</v>
      </c>
      <c r="J4" t="s">
        <v>453</v>
      </c>
      <c r="K4" t="s">
        <v>454</v>
      </c>
      <c r="L4">
        <v>1368</v>
      </c>
      <c r="N4">
        <v>1011</v>
      </c>
      <c r="O4" t="s">
        <v>455</v>
      </c>
      <c r="P4" t="s">
        <v>455</v>
      </c>
      <c r="Q4">
        <v>1</v>
      </c>
      <c r="X4">
        <v>0.61</v>
      </c>
      <c r="Y4">
        <v>0</v>
      </c>
      <c r="Z4">
        <v>13.77</v>
      </c>
      <c r="AA4">
        <v>7.0000000000000007E-2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0.61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1407492319</v>
      </c>
      <c r="C5">
        <v>1407492310</v>
      </c>
      <c r="D5">
        <v>1364553125</v>
      </c>
      <c r="E5">
        <v>1</v>
      </c>
      <c r="F5">
        <v>1</v>
      </c>
      <c r="G5">
        <v>39</v>
      </c>
      <c r="H5">
        <v>3</v>
      </c>
      <c r="I5" t="s">
        <v>456</v>
      </c>
      <c r="J5" t="s">
        <v>457</v>
      </c>
      <c r="K5" t="s">
        <v>458</v>
      </c>
      <c r="L5">
        <v>1339</v>
      </c>
      <c r="N5">
        <v>1007</v>
      </c>
      <c r="O5" t="s">
        <v>459</v>
      </c>
      <c r="P5" t="s">
        <v>459</v>
      </c>
      <c r="Q5">
        <v>1</v>
      </c>
      <c r="X5">
        <v>1.03</v>
      </c>
      <c r="Y5">
        <v>49.83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1.03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ROW(Source!A31)</f>
        <v>31</v>
      </c>
      <c r="B6">
        <v>1407492325</v>
      </c>
      <c r="C6">
        <v>1407492320</v>
      </c>
      <c r="D6">
        <v>1364549319</v>
      </c>
      <c r="E6">
        <v>39</v>
      </c>
      <c r="F6">
        <v>1</v>
      </c>
      <c r="G6">
        <v>39</v>
      </c>
      <c r="H6">
        <v>1</v>
      </c>
      <c r="I6" t="s">
        <v>449</v>
      </c>
      <c r="J6" t="s">
        <v>3</v>
      </c>
      <c r="K6" t="s">
        <v>450</v>
      </c>
      <c r="L6">
        <v>1191</v>
      </c>
      <c r="N6">
        <v>1013</v>
      </c>
      <c r="O6" t="s">
        <v>451</v>
      </c>
      <c r="P6" t="s">
        <v>451</v>
      </c>
      <c r="Q6">
        <v>1</v>
      </c>
      <c r="X6">
        <v>10.64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10.64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1407492326</v>
      </c>
      <c r="C7">
        <v>1407492320</v>
      </c>
      <c r="D7">
        <v>1364553125</v>
      </c>
      <c r="E7">
        <v>1</v>
      </c>
      <c r="F7">
        <v>1</v>
      </c>
      <c r="G7">
        <v>39</v>
      </c>
      <c r="H7">
        <v>3</v>
      </c>
      <c r="I7" t="s">
        <v>456</v>
      </c>
      <c r="J7" t="s">
        <v>457</v>
      </c>
      <c r="K7" t="s">
        <v>458</v>
      </c>
      <c r="L7">
        <v>1339</v>
      </c>
      <c r="N7">
        <v>1007</v>
      </c>
      <c r="O7" t="s">
        <v>459</v>
      </c>
      <c r="P7" t="s">
        <v>459</v>
      </c>
      <c r="Q7">
        <v>1</v>
      </c>
      <c r="X7">
        <v>1</v>
      </c>
      <c r="Y7">
        <v>49.83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1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1407492334</v>
      </c>
      <c r="C8">
        <v>1407492327</v>
      </c>
      <c r="D8">
        <v>1364549319</v>
      </c>
      <c r="E8">
        <v>39</v>
      </c>
      <c r="F8">
        <v>1</v>
      </c>
      <c r="G8">
        <v>39</v>
      </c>
      <c r="H8">
        <v>1</v>
      </c>
      <c r="I8" t="s">
        <v>449</v>
      </c>
      <c r="J8" t="s">
        <v>3</v>
      </c>
      <c r="K8" t="s">
        <v>450</v>
      </c>
      <c r="L8">
        <v>1191</v>
      </c>
      <c r="N8">
        <v>1013</v>
      </c>
      <c r="O8" t="s">
        <v>451</v>
      </c>
      <c r="P8" t="s">
        <v>451</v>
      </c>
      <c r="Q8">
        <v>1</v>
      </c>
      <c r="X8">
        <v>1.3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1.3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1407492335</v>
      </c>
      <c r="C9">
        <v>1407492327</v>
      </c>
      <c r="D9">
        <v>1364550719</v>
      </c>
      <c r="E9">
        <v>1</v>
      </c>
      <c r="F9">
        <v>1</v>
      </c>
      <c r="G9">
        <v>39</v>
      </c>
      <c r="H9">
        <v>2</v>
      </c>
      <c r="I9" t="s">
        <v>460</v>
      </c>
      <c r="J9" t="s">
        <v>461</v>
      </c>
      <c r="K9" t="s">
        <v>462</v>
      </c>
      <c r="L9">
        <v>1368</v>
      </c>
      <c r="N9">
        <v>1011</v>
      </c>
      <c r="O9" t="s">
        <v>455</v>
      </c>
      <c r="P9" t="s">
        <v>455</v>
      </c>
      <c r="Q9">
        <v>1</v>
      </c>
      <c r="X9">
        <v>3.44E-2</v>
      </c>
      <c r="Y9">
        <v>0</v>
      </c>
      <c r="Z9">
        <v>56.19</v>
      </c>
      <c r="AA9">
        <v>0.31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3.44E-2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1407492336</v>
      </c>
      <c r="C10">
        <v>1407492327</v>
      </c>
      <c r="D10">
        <v>1364552913</v>
      </c>
      <c r="E10">
        <v>1</v>
      </c>
      <c r="F10">
        <v>1</v>
      </c>
      <c r="G10">
        <v>39</v>
      </c>
      <c r="H10">
        <v>3</v>
      </c>
      <c r="I10" t="s">
        <v>463</v>
      </c>
      <c r="J10" t="s">
        <v>464</v>
      </c>
      <c r="K10" t="s">
        <v>465</v>
      </c>
      <c r="L10">
        <v>1346</v>
      </c>
      <c r="N10">
        <v>1009</v>
      </c>
      <c r="O10" t="s">
        <v>466</v>
      </c>
      <c r="P10" t="s">
        <v>466</v>
      </c>
      <c r="Q10">
        <v>1</v>
      </c>
      <c r="X10">
        <v>2.5999999999999999E-2</v>
      </c>
      <c r="Y10">
        <v>26.09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2.5999999999999999E-2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ROW(Source!A33)</f>
        <v>33</v>
      </c>
      <c r="B11">
        <v>1407492342</v>
      </c>
      <c r="C11">
        <v>1407492337</v>
      </c>
      <c r="D11">
        <v>1364549319</v>
      </c>
      <c r="E11">
        <v>39</v>
      </c>
      <c r="F11">
        <v>1</v>
      </c>
      <c r="G11">
        <v>39</v>
      </c>
      <c r="H11">
        <v>1</v>
      </c>
      <c r="I11" t="s">
        <v>449</v>
      </c>
      <c r="J11" t="s">
        <v>3</v>
      </c>
      <c r="K11" t="s">
        <v>450</v>
      </c>
      <c r="L11">
        <v>1191</v>
      </c>
      <c r="N11">
        <v>1013</v>
      </c>
      <c r="O11" t="s">
        <v>451</v>
      </c>
      <c r="P11" t="s">
        <v>451</v>
      </c>
      <c r="Q11">
        <v>1</v>
      </c>
      <c r="X11">
        <v>0.33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0.33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ROW(Source!A33)</f>
        <v>33</v>
      </c>
      <c r="B12">
        <v>1407492343</v>
      </c>
      <c r="C12">
        <v>1407492337</v>
      </c>
      <c r="D12">
        <v>1364552913</v>
      </c>
      <c r="E12">
        <v>1</v>
      </c>
      <c r="F12">
        <v>1</v>
      </c>
      <c r="G12">
        <v>39</v>
      </c>
      <c r="H12">
        <v>3</v>
      </c>
      <c r="I12" t="s">
        <v>463</v>
      </c>
      <c r="J12" t="s">
        <v>464</v>
      </c>
      <c r="K12" t="s">
        <v>465</v>
      </c>
      <c r="L12">
        <v>1346</v>
      </c>
      <c r="N12">
        <v>1009</v>
      </c>
      <c r="O12" t="s">
        <v>466</v>
      </c>
      <c r="P12" t="s">
        <v>466</v>
      </c>
      <c r="Q12">
        <v>1</v>
      </c>
      <c r="X12">
        <v>4.4999999999999997E-3</v>
      </c>
      <c r="Y12">
        <v>26.09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4.4999999999999997E-3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1407492347</v>
      </c>
      <c r="C13">
        <v>1407492344</v>
      </c>
      <c r="D13">
        <v>1364549319</v>
      </c>
      <c r="E13">
        <v>39</v>
      </c>
      <c r="F13">
        <v>1</v>
      </c>
      <c r="G13">
        <v>39</v>
      </c>
      <c r="H13">
        <v>1</v>
      </c>
      <c r="I13" t="s">
        <v>449</v>
      </c>
      <c r="J13" t="s">
        <v>3</v>
      </c>
      <c r="K13" t="s">
        <v>450</v>
      </c>
      <c r="L13">
        <v>1191</v>
      </c>
      <c r="N13">
        <v>1013</v>
      </c>
      <c r="O13" t="s">
        <v>451</v>
      </c>
      <c r="P13" t="s">
        <v>451</v>
      </c>
      <c r="Q13">
        <v>1</v>
      </c>
      <c r="X13">
        <v>0.41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20</v>
      </c>
      <c r="AG13">
        <v>1.64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ROW(Source!A35)</f>
        <v>35</v>
      </c>
      <c r="B14">
        <v>1407492355</v>
      </c>
      <c r="C14">
        <v>1407492348</v>
      </c>
      <c r="D14">
        <v>1364549319</v>
      </c>
      <c r="E14">
        <v>39</v>
      </c>
      <c r="F14">
        <v>1</v>
      </c>
      <c r="G14">
        <v>39</v>
      </c>
      <c r="H14">
        <v>1</v>
      </c>
      <c r="I14" t="s">
        <v>449</v>
      </c>
      <c r="J14" t="s">
        <v>3</v>
      </c>
      <c r="K14" t="s">
        <v>450</v>
      </c>
      <c r="L14">
        <v>1191</v>
      </c>
      <c r="N14">
        <v>1013</v>
      </c>
      <c r="O14" t="s">
        <v>451</v>
      </c>
      <c r="P14" t="s">
        <v>451</v>
      </c>
      <c r="Q14">
        <v>1</v>
      </c>
      <c r="X14">
        <v>0.14000000000000001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52</v>
      </c>
      <c r="AG14">
        <v>0.28000000000000003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1407492356</v>
      </c>
      <c r="C15">
        <v>1407492348</v>
      </c>
      <c r="D15">
        <v>1364550977</v>
      </c>
      <c r="E15">
        <v>1</v>
      </c>
      <c r="F15">
        <v>1</v>
      </c>
      <c r="G15">
        <v>39</v>
      </c>
      <c r="H15">
        <v>2</v>
      </c>
      <c r="I15" t="s">
        <v>467</v>
      </c>
      <c r="J15" t="s">
        <v>468</v>
      </c>
      <c r="K15" t="s">
        <v>469</v>
      </c>
      <c r="L15">
        <v>1368</v>
      </c>
      <c r="N15">
        <v>1011</v>
      </c>
      <c r="O15" t="s">
        <v>455</v>
      </c>
      <c r="P15" t="s">
        <v>455</v>
      </c>
      <c r="Q15">
        <v>1</v>
      </c>
      <c r="X15">
        <v>0.03</v>
      </c>
      <c r="Y15">
        <v>0</v>
      </c>
      <c r="Z15">
        <v>7.09</v>
      </c>
      <c r="AA15">
        <v>0.01</v>
      </c>
      <c r="AB15">
        <v>0</v>
      </c>
      <c r="AC15">
        <v>0</v>
      </c>
      <c r="AD15">
        <v>1</v>
      </c>
      <c r="AE15">
        <v>0</v>
      </c>
      <c r="AF15" t="s">
        <v>52</v>
      </c>
      <c r="AG15">
        <v>0.06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1407492357</v>
      </c>
      <c r="C16">
        <v>1407492348</v>
      </c>
      <c r="D16">
        <v>1364552913</v>
      </c>
      <c r="E16">
        <v>1</v>
      </c>
      <c r="F16">
        <v>1</v>
      </c>
      <c r="G16">
        <v>39</v>
      </c>
      <c r="H16">
        <v>3</v>
      </c>
      <c r="I16" t="s">
        <v>463</v>
      </c>
      <c r="J16" t="s">
        <v>464</v>
      </c>
      <c r="K16" t="s">
        <v>465</v>
      </c>
      <c r="L16">
        <v>1346</v>
      </c>
      <c r="N16">
        <v>1009</v>
      </c>
      <c r="O16" t="s">
        <v>466</v>
      </c>
      <c r="P16" t="s">
        <v>466</v>
      </c>
      <c r="Q16">
        <v>1</v>
      </c>
      <c r="X16">
        <v>7.0000000000000007E-2</v>
      </c>
      <c r="Y16">
        <v>26.09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52</v>
      </c>
      <c r="AG16">
        <v>0.14000000000000001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1407492363</v>
      </c>
      <c r="C17">
        <v>1407492358</v>
      </c>
      <c r="D17">
        <v>1364549319</v>
      </c>
      <c r="E17">
        <v>39</v>
      </c>
      <c r="F17">
        <v>1</v>
      </c>
      <c r="G17">
        <v>39</v>
      </c>
      <c r="H17">
        <v>1</v>
      </c>
      <c r="I17" t="s">
        <v>449</v>
      </c>
      <c r="J17" t="s">
        <v>3</v>
      </c>
      <c r="K17" t="s">
        <v>450</v>
      </c>
      <c r="L17">
        <v>1191</v>
      </c>
      <c r="N17">
        <v>1013</v>
      </c>
      <c r="O17" t="s">
        <v>451</v>
      </c>
      <c r="P17" t="s">
        <v>451</v>
      </c>
      <c r="Q17">
        <v>1</v>
      </c>
      <c r="X17">
        <v>0.37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52</v>
      </c>
      <c r="AG17">
        <v>0.74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1407492364</v>
      </c>
      <c r="C18">
        <v>1407492358</v>
      </c>
      <c r="D18">
        <v>1364551021</v>
      </c>
      <c r="E18">
        <v>1</v>
      </c>
      <c r="F18">
        <v>1</v>
      </c>
      <c r="G18">
        <v>39</v>
      </c>
      <c r="H18">
        <v>2</v>
      </c>
      <c r="I18" t="s">
        <v>470</v>
      </c>
      <c r="J18" t="s">
        <v>471</v>
      </c>
      <c r="K18" t="s">
        <v>472</v>
      </c>
      <c r="L18">
        <v>1368</v>
      </c>
      <c r="N18">
        <v>1011</v>
      </c>
      <c r="O18" t="s">
        <v>455</v>
      </c>
      <c r="P18" t="s">
        <v>455</v>
      </c>
      <c r="Q18">
        <v>1</v>
      </c>
      <c r="X18">
        <v>0.06</v>
      </c>
      <c r="Y18">
        <v>0</v>
      </c>
      <c r="Z18">
        <v>1490.46</v>
      </c>
      <c r="AA18">
        <v>808.44</v>
      </c>
      <c r="AB18">
        <v>0</v>
      </c>
      <c r="AC18">
        <v>0</v>
      </c>
      <c r="AD18">
        <v>1</v>
      </c>
      <c r="AE18">
        <v>0</v>
      </c>
      <c r="AF18" t="s">
        <v>52</v>
      </c>
      <c r="AG18">
        <v>0.12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1407492368</v>
      </c>
      <c r="C19">
        <v>1407492365</v>
      </c>
      <c r="D19">
        <v>1364549319</v>
      </c>
      <c r="E19">
        <v>39</v>
      </c>
      <c r="F19">
        <v>1</v>
      </c>
      <c r="G19">
        <v>39</v>
      </c>
      <c r="H19">
        <v>1</v>
      </c>
      <c r="I19" t="s">
        <v>449</v>
      </c>
      <c r="J19" t="s">
        <v>3</v>
      </c>
      <c r="K19" t="s">
        <v>450</v>
      </c>
      <c r="L19">
        <v>1191</v>
      </c>
      <c r="N19">
        <v>1013</v>
      </c>
      <c r="O19" t="s">
        <v>451</v>
      </c>
      <c r="P19" t="s">
        <v>451</v>
      </c>
      <c r="Q19">
        <v>1</v>
      </c>
      <c r="X19">
        <v>2.33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20</v>
      </c>
      <c r="AG19">
        <v>9.32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ROW(Source!A38)</f>
        <v>38</v>
      </c>
      <c r="B20">
        <v>1407492376</v>
      </c>
      <c r="C20">
        <v>1407492369</v>
      </c>
      <c r="D20">
        <v>1364549319</v>
      </c>
      <c r="E20">
        <v>39</v>
      </c>
      <c r="F20">
        <v>1</v>
      </c>
      <c r="G20">
        <v>39</v>
      </c>
      <c r="H20">
        <v>1</v>
      </c>
      <c r="I20" t="s">
        <v>449</v>
      </c>
      <c r="J20" t="s">
        <v>3</v>
      </c>
      <c r="K20" t="s">
        <v>450</v>
      </c>
      <c r="L20">
        <v>1191</v>
      </c>
      <c r="N20">
        <v>1013</v>
      </c>
      <c r="O20" t="s">
        <v>451</v>
      </c>
      <c r="P20" t="s">
        <v>451</v>
      </c>
      <c r="Q20">
        <v>1</v>
      </c>
      <c r="X20">
        <v>3.6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52</v>
      </c>
      <c r="AG20">
        <v>7.2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1407492377</v>
      </c>
      <c r="C21">
        <v>1407492369</v>
      </c>
      <c r="D21">
        <v>1364552913</v>
      </c>
      <c r="E21">
        <v>1</v>
      </c>
      <c r="F21">
        <v>1</v>
      </c>
      <c r="G21">
        <v>39</v>
      </c>
      <c r="H21">
        <v>3</v>
      </c>
      <c r="I21" t="s">
        <v>463</v>
      </c>
      <c r="J21" t="s">
        <v>464</v>
      </c>
      <c r="K21" t="s">
        <v>465</v>
      </c>
      <c r="L21">
        <v>1346</v>
      </c>
      <c r="N21">
        <v>1009</v>
      </c>
      <c r="O21" t="s">
        <v>466</v>
      </c>
      <c r="P21" t="s">
        <v>466</v>
      </c>
      <c r="Q21">
        <v>1</v>
      </c>
      <c r="X21">
        <v>1.2E-2</v>
      </c>
      <c r="Y21">
        <v>26.09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52</v>
      </c>
      <c r="AG21">
        <v>2.4E-2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ROW(Source!A38)</f>
        <v>38</v>
      </c>
      <c r="B22">
        <v>1407492378</v>
      </c>
      <c r="C22">
        <v>1407492369</v>
      </c>
      <c r="D22">
        <v>1364549565</v>
      </c>
      <c r="E22">
        <v>39</v>
      </c>
      <c r="F22">
        <v>1</v>
      </c>
      <c r="G22">
        <v>39</v>
      </c>
      <c r="H22">
        <v>3</v>
      </c>
      <c r="I22" t="s">
        <v>473</v>
      </c>
      <c r="J22" t="s">
        <v>3</v>
      </c>
      <c r="K22" t="s">
        <v>474</v>
      </c>
      <c r="L22">
        <v>1354</v>
      </c>
      <c r="N22">
        <v>16987630</v>
      </c>
      <c r="O22" t="s">
        <v>42</v>
      </c>
      <c r="P22" t="s">
        <v>42</v>
      </c>
      <c r="Q22">
        <v>1</v>
      </c>
      <c r="X22">
        <v>10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52</v>
      </c>
      <c r="AG22">
        <v>20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ROW(Source!A40)</f>
        <v>40</v>
      </c>
      <c r="B23">
        <v>1407492385</v>
      </c>
      <c r="C23">
        <v>1407492380</v>
      </c>
      <c r="D23">
        <v>1364549319</v>
      </c>
      <c r="E23">
        <v>39</v>
      </c>
      <c r="F23">
        <v>1</v>
      </c>
      <c r="G23">
        <v>39</v>
      </c>
      <c r="H23">
        <v>1</v>
      </c>
      <c r="I23" t="s">
        <v>449</v>
      </c>
      <c r="J23" t="s">
        <v>3</v>
      </c>
      <c r="K23" t="s">
        <v>450</v>
      </c>
      <c r="L23">
        <v>1191</v>
      </c>
      <c r="N23">
        <v>1013</v>
      </c>
      <c r="O23" t="s">
        <v>451</v>
      </c>
      <c r="P23" t="s">
        <v>451</v>
      </c>
      <c r="Q23">
        <v>1</v>
      </c>
      <c r="X23">
        <v>0.9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52</v>
      </c>
      <c r="AG23">
        <v>1.8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ROW(Source!A40)</f>
        <v>40</v>
      </c>
      <c r="B24">
        <v>1407492386</v>
      </c>
      <c r="C24">
        <v>1407492380</v>
      </c>
      <c r="D24">
        <v>1364552913</v>
      </c>
      <c r="E24">
        <v>1</v>
      </c>
      <c r="F24">
        <v>1</v>
      </c>
      <c r="G24">
        <v>39</v>
      </c>
      <c r="H24">
        <v>3</v>
      </c>
      <c r="I24" t="s">
        <v>463</v>
      </c>
      <c r="J24" t="s">
        <v>464</v>
      </c>
      <c r="K24" t="s">
        <v>465</v>
      </c>
      <c r="L24">
        <v>1346</v>
      </c>
      <c r="N24">
        <v>1009</v>
      </c>
      <c r="O24" t="s">
        <v>466</v>
      </c>
      <c r="P24" t="s">
        <v>466</v>
      </c>
      <c r="Q24">
        <v>1</v>
      </c>
      <c r="X24">
        <v>0.01</v>
      </c>
      <c r="Y24">
        <v>26.09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52</v>
      </c>
      <c r="AG24">
        <v>0.02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ROW(Source!A41)</f>
        <v>41</v>
      </c>
      <c r="B25">
        <v>1407492392</v>
      </c>
      <c r="C25">
        <v>1407492387</v>
      </c>
      <c r="D25">
        <v>1364549319</v>
      </c>
      <c r="E25">
        <v>39</v>
      </c>
      <c r="F25">
        <v>1</v>
      </c>
      <c r="G25">
        <v>39</v>
      </c>
      <c r="H25">
        <v>1</v>
      </c>
      <c r="I25" t="s">
        <v>449</v>
      </c>
      <c r="J25" t="s">
        <v>3</v>
      </c>
      <c r="K25" t="s">
        <v>450</v>
      </c>
      <c r="L25">
        <v>1191</v>
      </c>
      <c r="N25">
        <v>1013</v>
      </c>
      <c r="O25" t="s">
        <v>451</v>
      </c>
      <c r="P25" t="s">
        <v>451</v>
      </c>
      <c r="Q25">
        <v>1</v>
      </c>
      <c r="X25">
        <v>0.37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52</v>
      </c>
      <c r="AG25">
        <v>0.74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ROW(Source!A41)</f>
        <v>41</v>
      </c>
      <c r="B26">
        <v>1407492393</v>
      </c>
      <c r="C26">
        <v>1407492387</v>
      </c>
      <c r="D26">
        <v>1364551021</v>
      </c>
      <c r="E26">
        <v>1</v>
      </c>
      <c r="F26">
        <v>1</v>
      </c>
      <c r="G26">
        <v>39</v>
      </c>
      <c r="H26">
        <v>2</v>
      </c>
      <c r="I26" t="s">
        <v>470</v>
      </c>
      <c r="J26" t="s">
        <v>471</v>
      </c>
      <c r="K26" t="s">
        <v>472</v>
      </c>
      <c r="L26">
        <v>1368</v>
      </c>
      <c r="N26">
        <v>1011</v>
      </c>
      <c r="O26" t="s">
        <v>455</v>
      </c>
      <c r="P26" t="s">
        <v>455</v>
      </c>
      <c r="Q26">
        <v>1</v>
      </c>
      <c r="X26">
        <v>0.06</v>
      </c>
      <c r="Y26">
        <v>0</v>
      </c>
      <c r="Z26">
        <v>1490.46</v>
      </c>
      <c r="AA26">
        <v>808.44</v>
      </c>
      <c r="AB26">
        <v>0</v>
      </c>
      <c r="AC26">
        <v>0</v>
      </c>
      <c r="AD26">
        <v>1</v>
      </c>
      <c r="AE26">
        <v>0</v>
      </c>
      <c r="AF26" t="s">
        <v>52</v>
      </c>
      <c r="AG26">
        <v>0.12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ROW(Source!A77)</f>
        <v>77</v>
      </c>
      <c r="B27">
        <v>1407492397</v>
      </c>
      <c r="C27">
        <v>1407492394</v>
      </c>
      <c r="D27">
        <v>1364549319</v>
      </c>
      <c r="E27">
        <v>39</v>
      </c>
      <c r="F27">
        <v>1</v>
      </c>
      <c r="G27">
        <v>39</v>
      </c>
      <c r="H27">
        <v>1</v>
      </c>
      <c r="I27" t="s">
        <v>449</v>
      </c>
      <c r="J27" t="s">
        <v>3</v>
      </c>
      <c r="K27" t="s">
        <v>450</v>
      </c>
      <c r="L27">
        <v>1191</v>
      </c>
      <c r="N27">
        <v>1013</v>
      </c>
      <c r="O27" t="s">
        <v>451</v>
      </c>
      <c r="P27" t="s">
        <v>451</v>
      </c>
      <c r="Q27">
        <v>1</v>
      </c>
      <c r="X27">
        <v>0.9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20</v>
      </c>
      <c r="AG27">
        <v>3.6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ROW(Source!A78)</f>
        <v>78</v>
      </c>
      <c r="B28">
        <v>1407492401</v>
      </c>
      <c r="C28">
        <v>1407492398</v>
      </c>
      <c r="D28">
        <v>1364549319</v>
      </c>
      <c r="E28">
        <v>39</v>
      </c>
      <c r="F28">
        <v>1</v>
      </c>
      <c r="G28">
        <v>39</v>
      </c>
      <c r="H28">
        <v>1</v>
      </c>
      <c r="I28" t="s">
        <v>449</v>
      </c>
      <c r="J28" t="s">
        <v>3</v>
      </c>
      <c r="K28" t="s">
        <v>450</v>
      </c>
      <c r="L28">
        <v>1191</v>
      </c>
      <c r="N28">
        <v>1013</v>
      </c>
      <c r="O28" t="s">
        <v>451</v>
      </c>
      <c r="P28" t="s">
        <v>451</v>
      </c>
      <c r="Q28">
        <v>1</v>
      </c>
      <c r="X28">
        <v>2.64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20</v>
      </c>
      <c r="AG28">
        <v>10.56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ROW(Source!A79)</f>
        <v>79</v>
      </c>
      <c r="B29">
        <v>1407492411</v>
      </c>
      <c r="C29">
        <v>1407492402</v>
      </c>
      <c r="D29">
        <v>1364549319</v>
      </c>
      <c r="E29">
        <v>39</v>
      </c>
      <c r="F29">
        <v>1</v>
      </c>
      <c r="G29">
        <v>39</v>
      </c>
      <c r="H29">
        <v>1</v>
      </c>
      <c r="I29" t="s">
        <v>449</v>
      </c>
      <c r="J29" t="s">
        <v>3</v>
      </c>
      <c r="K29" t="s">
        <v>450</v>
      </c>
      <c r="L29">
        <v>1191</v>
      </c>
      <c r="N29">
        <v>1013</v>
      </c>
      <c r="O29" t="s">
        <v>451</v>
      </c>
      <c r="P29" t="s">
        <v>451</v>
      </c>
      <c r="Q29">
        <v>1</v>
      </c>
      <c r="X29">
        <v>4.72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3</v>
      </c>
      <c r="AG29">
        <v>4.72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ROW(Source!A79)</f>
        <v>79</v>
      </c>
      <c r="B30">
        <v>1407492412</v>
      </c>
      <c r="C30">
        <v>1407492402</v>
      </c>
      <c r="D30">
        <v>1364550621</v>
      </c>
      <c r="E30">
        <v>1</v>
      </c>
      <c r="F30">
        <v>1</v>
      </c>
      <c r="G30">
        <v>39</v>
      </c>
      <c r="H30">
        <v>2</v>
      </c>
      <c r="I30" t="s">
        <v>452</v>
      </c>
      <c r="J30" t="s">
        <v>453</v>
      </c>
      <c r="K30" t="s">
        <v>454</v>
      </c>
      <c r="L30">
        <v>1368</v>
      </c>
      <c r="N30">
        <v>1011</v>
      </c>
      <c r="O30" t="s">
        <v>455</v>
      </c>
      <c r="P30" t="s">
        <v>455</v>
      </c>
      <c r="Q30">
        <v>1</v>
      </c>
      <c r="X30">
        <v>1.31</v>
      </c>
      <c r="Y30">
        <v>0</v>
      </c>
      <c r="Z30">
        <v>13.77</v>
      </c>
      <c r="AA30">
        <v>7.0000000000000007E-2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1.31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ROW(Source!A79)</f>
        <v>79</v>
      </c>
      <c r="B31">
        <v>1407492414</v>
      </c>
      <c r="C31">
        <v>1407492402</v>
      </c>
      <c r="D31">
        <v>1364549562</v>
      </c>
      <c r="E31">
        <v>39</v>
      </c>
      <c r="F31">
        <v>1</v>
      </c>
      <c r="G31">
        <v>39</v>
      </c>
      <c r="H31">
        <v>3</v>
      </c>
      <c r="I31" t="s">
        <v>475</v>
      </c>
      <c r="J31" t="s">
        <v>3</v>
      </c>
      <c r="K31" t="s">
        <v>476</v>
      </c>
      <c r="L31">
        <v>1346</v>
      </c>
      <c r="N31">
        <v>1009</v>
      </c>
      <c r="O31" t="s">
        <v>466</v>
      </c>
      <c r="P31" t="s">
        <v>466</v>
      </c>
      <c r="Q31">
        <v>1</v>
      </c>
      <c r="X31">
        <v>0.22900000000000001</v>
      </c>
      <c r="Y31">
        <v>79.502260000000007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0.22900000000000001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ROW(Source!A79)</f>
        <v>79</v>
      </c>
      <c r="B32">
        <v>1407492413</v>
      </c>
      <c r="C32">
        <v>1407492402</v>
      </c>
      <c r="D32">
        <v>1364553125</v>
      </c>
      <c r="E32">
        <v>1</v>
      </c>
      <c r="F32">
        <v>1</v>
      </c>
      <c r="G32">
        <v>39</v>
      </c>
      <c r="H32">
        <v>3</v>
      </c>
      <c r="I32" t="s">
        <v>456</v>
      </c>
      <c r="J32" t="s">
        <v>457</v>
      </c>
      <c r="K32" t="s">
        <v>458</v>
      </c>
      <c r="L32">
        <v>1339</v>
      </c>
      <c r="N32">
        <v>1007</v>
      </c>
      <c r="O32" t="s">
        <v>459</v>
      </c>
      <c r="P32" t="s">
        <v>459</v>
      </c>
      <c r="Q32">
        <v>1</v>
      </c>
      <c r="X32">
        <v>5.4960000000000004</v>
      </c>
      <c r="Y32">
        <v>49.83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5.4960000000000004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ROW(Source!A80)</f>
        <v>80</v>
      </c>
      <c r="B33">
        <v>1407492420</v>
      </c>
      <c r="C33">
        <v>1407492415</v>
      </c>
      <c r="D33">
        <v>1364549319</v>
      </c>
      <c r="E33">
        <v>39</v>
      </c>
      <c r="F33">
        <v>1</v>
      </c>
      <c r="G33">
        <v>39</v>
      </c>
      <c r="H33">
        <v>1</v>
      </c>
      <c r="I33" t="s">
        <v>449</v>
      </c>
      <c r="J33" t="s">
        <v>3</v>
      </c>
      <c r="K33" t="s">
        <v>450</v>
      </c>
      <c r="L33">
        <v>1191</v>
      </c>
      <c r="N33">
        <v>1013</v>
      </c>
      <c r="O33" t="s">
        <v>451</v>
      </c>
      <c r="P33" t="s">
        <v>451</v>
      </c>
      <c r="Q33">
        <v>1</v>
      </c>
      <c r="X33">
        <v>2.08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2.08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ROW(Source!A80)</f>
        <v>80</v>
      </c>
      <c r="B34">
        <v>1407492421</v>
      </c>
      <c r="C34">
        <v>1407492415</v>
      </c>
      <c r="D34">
        <v>1364553125</v>
      </c>
      <c r="E34">
        <v>1</v>
      </c>
      <c r="F34">
        <v>1</v>
      </c>
      <c r="G34">
        <v>39</v>
      </c>
      <c r="H34">
        <v>3</v>
      </c>
      <c r="I34" t="s">
        <v>456</v>
      </c>
      <c r="J34" t="s">
        <v>457</v>
      </c>
      <c r="K34" t="s">
        <v>458</v>
      </c>
      <c r="L34">
        <v>1339</v>
      </c>
      <c r="N34">
        <v>1007</v>
      </c>
      <c r="O34" t="s">
        <v>459</v>
      </c>
      <c r="P34" t="s">
        <v>459</v>
      </c>
      <c r="Q34">
        <v>1</v>
      </c>
      <c r="X34">
        <v>3.5000000000000001E-3</v>
      </c>
      <c r="Y34">
        <v>49.83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3.5000000000000001E-3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ROW(Source!A81)</f>
        <v>81</v>
      </c>
      <c r="B35">
        <v>1407492427</v>
      </c>
      <c r="C35">
        <v>1407492422</v>
      </c>
      <c r="D35">
        <v>1364549319</v>
      </c>
      <c r="E35">
        <v>39</v>
      </c>
      <c r="F35">
        <v>1</v>
      </c>
      <c r="G35">
        <v>39</v>
      </c>
      <c r="H35">
        <v>1</v>
      </c>
      <c r="I35" t="s">
        <v>449</v>
      </c>
      <c r="J35" t="s">
        <v>3</v>
      </c>
      <c r="K35" t="s">
        <v>450</v>
      </c>
      <c r="L35">
        <v>1191</v>
      </c>
      <c r="N35">
        <v>1013</v>
      </c>
      <c r="O35" t="s">
        <v>451</v>
      </c>
      <c r="P35" t="s">
        <v>451</v>
      </c>
      <c r="Q35">
        <v>1</v>
      </c>
      <c r="X35">
        <v>0.9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20</v>
      </c>
      <c r="AG35">
        <v>3.6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ROW(Source!A81)</f>
        <v>81</v>
      </c>
      <c r="B36">
        <v>1407492428</v>
      </c>
      <c r="C36">
        <v>1407492422</v>
      </c>
      <c r="D36">
        <v>1364552913</v>
      </c>
      <c r="E36">
        <v>1</v>
      </c>
      <c r="F36">
        <v>1</v>
      </c>
      <c r="G36">
        <v>39</v>
      </c>
      <c r="H36">
        <v>3</v>
      </c>
      <c r="I36" t="s">
        <v>463</v>
      </c>
      <c r="J36" t="s">
        <v>464</v>
      </c>
      <c r="K36" t="s">
        <v>465</v>
      </c>
      <c r="L36">
        <v>1346</v>
      </c>
      <c r="N36">
        <v>1009</v>
      </c>
      <c r="O36" t="s">
        <v>466</v>
      </c>
      <c r="P36" t="s">
        <v>466</v>
      </c>
      <c r="Q36">
        <v>1</v>
      </c>
      <c r="X36">
        <v>0.01</v>
      </c>
      <c r="Y36">
        <v>26.09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20</v>
      </c>
      <c r="AG36">
        <v>0.04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ROW(Source!A82)</f>
        <v>82</v>
      </c>
      <c r="B37">
        <v>1407492440</v>
      </c>
      <c r="C37">
        <v>1407492429</v>
      </c>
      <c r="D37">
        <v>1364549319</v>
      </c>
      <c r="E37">
        <v>39</v>
      </c>
      <c r="F37">
        <v>1</v>
      </c>
      <c r="G37">
        <v>39</v>
      </c>
      <c r="H37">
        <v>1</v>
      </c>
      <c r="I37" t="s">
        <v>449</v>
      </c>
      <c r="J37" t="s">
        <v>3</v>
      </c>
      <c r="K37" t="s">
        <v>450</v>
      </c>
      <c r="L37">
        <v>1191</v>
      </c>
      <c r="N37">
        <v>1013</v>
      </c>
      <c r="O37" t="s">
        <v>451</v>
      </c>
      <c r="P37" t="s">
        <v>451</v>
      </c>
      <c r="Q37">
        <v>1</v>
      </c>
      <c r="X37">
        <v>16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16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ROW(Source!A82)</f>
        <v>82</v>
      </c>
      <c r="B38">
        <v>1407492441</v>
      </c>
      <c r="C38">
        <v>1407492429</v>
      </c>
      <c r="D38">
        <v>1364552913</v>
      </c>
      <c r="E38">
        <v>1</v>
      </c>
      <c r="F38">
        <v>1</v>
      </c>
      <c r="G38">
        <v>39</v>
      </c>
      <c r="H38">
        <v>3</v>
      </c>
      <c r="I38" t="s">
        <v>463</v>
      </c>
      <c r="J38" t="s">
        <v>464</v>
      </c>
      <c r="K38" t="s">
        <v>465</v>
      </c>
      <c r="L38">
        <v>1346</v>
      </c>
      <c r="N38">
        <v>1009</v>
      </c>
      <c r="O38" t="s">
        <v>466</v>
      </c>
      <c r="P38" t="s">
        <v>466</v>
      </c>
      <c r="Q38">
        <v>1</v>
      </c>
      <c r="X38">
        <v>0.3</v>
      </c>
      <c r="Y38">
        <v>26.09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0.3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ROW(Source!A82)</f>
        <v>82</v>
      </c>
      <c r="B39">
        <v>1407492442</v>
      </c>
      <c r="C39">
        <v>1407492429</v>
      </c>
      <c r="D39">
        <v>1364551406</v>
      </c>
      <c r="E39">
        <v>1</v>
      </c>
      <c r="F39">
        <v>1</v>
      </c>
      <c r="G39">
        <v>39</v>
      </c>
      <c r="H39">
        <v>3</v>
      </c>
      <c r="I39" t="s">
        <v>477</v>
      </c>
      <c r="J39" t="s">
        <v>478</v>
      </c>
      <c r="K39" t="s">
        <v>479</v>
      </c>
      <c r="L39">
        <v>1296</v>
      </c>
      <c r="N39">
        <v>1002</v>
      </c>
      <c r="O39" t="s">
        <v>480</v>
      </c>
      <c r="P39" t="s">
        <v>480</v>
      </c>
      <c r="Q39">
        <v>1</v>
      </c>
      <c r="X39">
        <v>2</v>
      </c>
      <c r="Y39">
        <v>2893.54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2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ROW(Source!A82)</f>
        <v>82</v>
      </c>
      <c r="B40">
        <v>1407492443</v>
      </c>
      <c r="C40">
        <v>1407492429</v>
      </c>
      <c r="D40">
        <v>1364551419</v>
      </c>
      <c r="E40">
        <v>1</v>
      </c>
      <c r="F40">
        <v>1</v>
      </c>
      <c r="G40">
        <v>39</v>
      </c>
      <c r="H40">
        <v>3</v>
      </c>
      <c r="I40" t="s">
        <v>481</v>
      </c>
      <c r="J40" t="s">
        <v>482</v>
      </c>
      <c r="K40" t="s">
        <v>483</v>
      </c>
      <c r="L40">
        <v>1346</v>
      </c>
      <c r="N40">
        <v>1009</v>
      </c>
      <c r="O40" t="s">
        <v>466</v>
      </c>
      <c r="P40" t="s">
        <v>466</v>
      </c>
      <c r="Q40">
        <v>1</v>
      </c>
      <c r="X40">
        <v>0.2</v>
      </c>
      <c r="Y40">
        <v>208.44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0.2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ROW(Source!A82)</f>
        <v>82</v>
      </c>
      <c r="B41">
        <v>1407492444</v>
      </c>
      <c r="C41">
        <v>1407492429</v>
      </c>
      <c r="D41">
        <v>1364551628</v>
      </c>
      <c r="E41">
        <v>1</v>
      </c>
      <c r="F41">
        <v>1</v>
      </c>
      <c r="G41">
        <v>39</v>
      </c>
      <c r="H41">
        <v>3</v>
      </c>
      <c r="I41" t="s">
        <v>484</v>
      </c>
      <c r="J41" t="s">
        <v>485</v>
      </c>
      <c r="K41" t="s">
        <v>486</v>
      </c>
      <c r="L41">
        <v>1348</v>
      </c>
      <c r="N41">
        <v>1009</v>
      </c>
      <c r="O41" t="s">
        <v>487</v>
      </c>
      <c r="P41" t="s">
        <v>487</v>
      </c>
      <c r="Q41">
        <v>1000</v>
      </c>
      <c r="X41">
        <v>1.1E-4</v>
      </c>
      <c r="Y41">
        <v>116802.33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1.1E-4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ROW(Source!A83)</f>
        <v>83</v>
      </c>
      <c r="B42">
        <v>1407492454</v>
      </c>
      <c r="C42">
        <v>1407492445</v>
      </c>
      <c r="D42">
        <v>1364549319</v>
      </c>
      <c r="E42">
        <v>39</v>
      </c>
      <c r="F42">
        <v>1</v>
      </c>
      <c r="G42">
        <v>39</v>
      </c>
      <c r="H42">
        <v>1</v>
      </c>
      <c r="I42" t="s">
        <v>449</v>
      </c>
      <c r="J42" t="s">
        <v>3</v>
      </c>
      <c r="K42" t="s">
        <v>450</v>
      </c>
      <c r="L42">
        <v>1191</v>
      </c>
      <c r="N42">
        <v>1013</v>
      </c>
      <c r="O42" t="s">
        <v>451</v>
      </c>
      <c r="P42" t="s">
        <v>451</v>
      </c>
      <c r="Q42">
        <v>1</v>
      </c>
      <c r="X42">
        <v>0.84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20</v>
      </c>
      <c r="AG42">
        <v>3.36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ROW(Source!A83)</f>
        <v>83</v>
      </c>
      <c r="B43">
        <v>1407492455</v>
      </c>
      <c r="C43">
        <v>1407492445</v>
      </c>
      <c r="D43">
        <v>1364552866</v>
      </c>
      <c r="E43">
        <v>1</v>
      </c>
      <c r="F43">
        <v>1</v>
      </c>
      <c r="G43">
        <v>39</v>
      </c>
      <c r="H43">
        <v>3</v>
      </c>
      <c r="I43" t="s">
        <v>488</v>
      </c>
      <c r="J43" t="s">
        <v>489</v>
      </c>
      <c r="K43" t="s">
        <v>490</v>
      </c>
      <c r="L43">
        <v>1346</v>
      </c>
      <c r="N43">
        <v>1009</v>
      </c>
      <c r="O43" t="s">
        <v>466</v>
      </c>
      <c r="P43" t="s">
        <v>466</v>
      </c>
      <c r="Q43">
        <v>1</v>
      </c>
      <c r="X43">
        <v>8.0000000000000002E-3</v>
      </c>
      <c r="Y43">
        <v>276.63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20</v>
      </c>
      <c r="AG43">
        <v>3.2000000000000001E-2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ROW(Source!A83)</f>
        <v>83</v>
      </c>
      <c r="B44">
        <v>1407492456</v>
      </c>
      <c r="C44">
        <v>1407492445</v>
      </c>
      <c r="D44">
        <v>1364552913</v>
      </c>
      <c r="E44">
        <v>1</v>
      </c>
      <c r="F44">
        <v>1</v>
      </c>
      <c r="G44">
        <v>39</v>
      </c>
      <c r="H44">
        <v>3</v>
      </c>
      <c r="I44" t="s">
        <v>463</v>
      </c>
      <c r="J44" t="s">
        <v>464</v>
      </c>
      <c r="K44" t="s">
        <v>465</v>
      </c>
      <c r="L44">
        <v>1346</v>
      </c>
      <c r="N44">
        <v>1009</v>
      </c>
      <c r="O44" t="s">
        <v>466</v>
      </c>
      <c r="P44" t="s">
        <v>466</v>
      </c>
      <c r="Q44">
        <v>1</v>
      </c>
      <c r="X44">
        <v>0.5</v>
      </c>
      <c r="Y44">
        <v>26.09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20</v>
      </c>
      <c r="AG44">
        <v>2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ROW(Source!A83)</f>
        <v>83</v>
      </c>
      <c r="B45">
        <v>1407492457</v>
      </c>
      <c r="C45">
        <v>1407492445</v>
      </c>
      <c r="D45">
        <v>1364553275</v>
      </c>
      <c r="E45">
        <v>1</v>
      </c>
      <c r="F45">
        <v>1</v>
      </c>
      <c r="G45">
        <v>39</v>
      </c>
      <c r="H45">
        <v>3</v>
      </c>
      <c r="I45" t="s">
        <v>491</v>
      </c>
      <c r="J45" t="s">
        <v>492</v>
      </c>
      <c r="K45" t="s">
        <v>493</v>
      </c>
      <c r="L45">
        <v>1346</v>
      </c>
      <c r="N45">
        <v>1009</v>
      </c>
      <c r="O45" t="s">
        <v>466</v>
      </c>
      <c r="P45" t="s">
        <v>466</v>
      </c>
      <c r="Q45">
        <v>1</v>
      </c>
      <c r="X45">
        <v>0.01</v>
      </c>
      <c r="Y45">
        <v>328.35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20</v>
      </c>
      <c r="AG45">
        <v>0.04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ROW(Source!A84)</f>
        <v>84</v>
      </c>
      <c r="B46">
        <v>1407492461</v>
      </c>
      <c r="C46">
        <v>1407492458</v>
      </c>
      <c r="D46">
        <v>1364549319</v>
      </c>
      <c r="E46">
        <v>39</v>
      </c>
      <c r="F46">
        <v>1</v>
      </c>
      <c r="G46">
        <v>39</v>
      </c>
      <c r="H46">
        <v>1</v>
      </c>
      <c r="I46" t="s">
        <v>449</v>
      </c>
      <c r="J46" t="s">
        <v>3</v>
      </c>
      <c r="K46" t="s">
        <v>450</v>
      </c>
      <c r="L46">
        <v>1191</v>
      </c>
      <c r="N46">
        <v>1013</v>
      </c>
      <c r="O46" t="s">
        <v>451</v>
      </c>
      <c r="P46" t="s">
        <v>451</v>
      </c>
      <c r="Q46">
        <v>1</v>
      </c>
      <c r="X46">
        <v>2.33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20</v>
      </c>
      <c r="AG46">
        <v>9.32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ROW(Source!A85)</f>
        <v>85</v>
      </c>
      <c r="B47">
        <v>1407492469</v>
      </c>
      <c r="C47">
        <v>1407492462</v>
      </c>
      <c r="D47">
        <v>1364549319</v>
      </c>
      <c r="E47">
        <v>39</v>
      </c>
      <c r="F47">
        <v>1</v>
      </c>
      <c r="G47">
        <v>39</v>
      </c>
      <c r="H47">
        <v>1</v>
      </c>
      <c r="I47" t="s">
        <v>449</v>
      </c>
      <c r="J47" t="s">
        <v>3</v>
      </c>
      <c r="K47" t="s">
        <v>450</v>
      </c>
      <c r="L47">
        <v>1191</v>
      </c>
      <c r="N47">
        <v>1013</v>
      </c>
      <c r="O47" t="s">
        <v>451</v>
      </c>
      <c r="P47" t="s">
        <v>451</v>
      </c>
      <c r="Q47">
        <v>1</v>
      </c>
      <c r="X47">
        <v>14.83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14.83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ROW(Source!A85)</f>
        <v>85</v>
      </c>
      <c r="B48">
        <v>1407492470</v>
      </c>
      <c r="C48">
        <v>1407492462</v>
      </c>
      <c r="D48">
        <v>1364551195</v>
      </c>
      <c r="E48">
        <v>1</v>
      </c>
      <c r="F48">
        <v>1</v>
      </c>
      <c r="G48">
        <v>39</v>
      </c>
      <c r="H48">
        <v>3</v>
      </c>
      <c r="I48" t="s">
        <v>494</v>
      </c>
      <c r="J48" t="s">
        <v>495</v>
      </c>
      <c r="K48" t="s">
        <v>496</v>
      </c>
      <c r="L48">
        <v>1296</v>
      </c>
      <c r="N48">
        <v>1002</v>
      </c>
      <c r="O48" t="s">
        <v>480</v>
      </c>
      <c r="P48" t="s">
        <v>480</v>
      </c>
      <c r="Q48">
        <v>1</v>
      </c>
      <c r="X48">
        <v>0.31</v>
      </c>
      <c r="Y48">
        <v>1404.31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0.31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ROW(Source!A85)</f>
        <v>85</v>
      </c>
      <c r="B49">
        <v>1407492471</v>
      </c>
      <c r="C49">
        <v>1407492462</v>
      </c>
      <c r="D49">
        <v>1364553371</v>
      </c>
      <c r="E49">
        <v>1</v>
      </c>
      <c r="F49">
        <v>1</v>
      </c>
      <c r="G49">
        <v>39</v>
      </c>
      <c r="H49">
        <v>3</v>
      </c>
      <c r="I49" t="s">
        <v>497</v>
      </c>
      <c r="J49" t="s">
        <v>498</v>
      </c>
      <c r="K49" t="s">
        <v>499</v>
      </c>
      <c r="L49">
        <v>1354</v>
      </c>
      <c r="N49">
        <v>16987630</v>
      </c>
      <c r="O49" t="s">
        <v>42</v>
      </c>
      <c r="P49" t="s">
        <v>42</v>
      </c>
      <c r="Q49">
        <v>1</v>
      </c>
      <c r="X49">
        <v>100</v>
      </c>
      <c r="Y49">
        <v>1.67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100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ROW(Source!A121)</f>
        <v>121</v>
      </c>
      <c r="B50">
        <v>1407492475</v>
      </c>
      <c r="C50">
        <v>1407492472</v>
      </c>
      <c r="D50">
        <v>1364549319</v>
      </c>
      <c r="E50">
        <v>39</v>
      </c>
      <c r="F50">
        <v>1</v>
      </c>
      <c r="G50">
        <v>39</v>
      </c>
      <c r="H50">
        <v>1</v>
      </c>
      <c r="I50" t="s">
        <v>449</v>
      </c>
      <c r="J50" t="s">
        <v>3</v>
      </c>
      <c r="K50" t="s">
        <v>450</v>
      </c>
      <c r="L50">
        <v>1191</v>
      </c>
      <c r="N50">
        <v>1013</v>
      </c>
      <c r="O50" t="s">
        <v>451</v>
      </c>
      <c r="P50" t="s">
        <v>451</v>
      </c>
      <c r="Q50">
        <v>1</v>
      </c>
      <c r="X50">
        <v>1.26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156</v>
      </c>
      <c r="AG50">
        <v>21.42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ROW(Source!A122)</f>
        <v>122</v>
      </c>
      <c r="B51">
        <v>1407492479</v>
      </c>
      <c r="C51">
        <v>1407492476</v>
      </c>
      <c r="D51">
        <v>1364549319</v>
      </c>
      <c r="E51">
        <v>39</v>
      </c>
      <c r="F51">
        <v>1</v>
      </c>
      <c r="G51">
        <v>39</v>
      </c>
      <c r="H51">
        <v>1</v>
      </c>
      <c r="I51" t="s">
        <v>449</v>
      </c>
      <c r="J51" t="s">
        <v>3</v>
      </c>
      <c r="K51" t="s">
        <v>450</v>
      </c>
      <c r="L51">
        <v>1191</v>
      </c>
      <c r="N51">
        <v>1013</v>
      </c>
      <c r="O51" t="s">
        <v>451</v>
      </c>
      <c r="P51" t="s">
        <v>451</v>
      </c>
      <c r="Q51">
        <v>1</v>
      </c>
      <c r="X51">
        <v>0.23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156</v>
      </c>
      <c r="AG51">
        <v>3.91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ROW(Source!A123)</f>
        <v>123</v>
      </c>
      <c r="B52">
        <v>1407492483</v>
      </c>
      <c r="C52">
        <v>1407492480</v>
      </c>
      <c r="D52">
        <v>1364549319</v>
      </c>
      <c r="E52">
        <v>39</v>
      </c>
      <c r="F52">
        <v>1</v>
      </c>
      <c r="G52">
        <v>39</v>
      </c>
      <c r="H52">
        <v>1</v>
      </c>
      <c r="I52" t="s">
        <v>449</v>
      </c>
      <c r="J52" t="s">
        <v>3</v>
      </c>
      <c r="K52" t="s">
        <v>450</v>
      </c>
      <c r="L52">
        <v>1191</v>
      </c>
      <c r="N52">
        <v>1013</v>
      </c>
      <c r="O52" t="s">
        <v>451</v>
      </c>
      <c r="P52" t="s">
        <v>451</v>
      </c>
      <c r="Q52">
        <v>1</v>
      </c>
      <c r="X52">
        <v>0.23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156</v>
      </c>
      <c r="AG52">
        <v>3.91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ROW(Source!A124)</f>
        <v>124</v>
      </c>
      <c r="B53">
        <v>1407492495</v>
      </c>
      <c r="C53">
        <v>1407492484</v>
      </c>
      <c r="D53">
        <v>1364549319</v>
      </c>
      <c r="E53">
        <v>39</v>
      </c>
      <c r="F53">
        <v>1</v>
      </c>
      <c r="G53">
        <v>39</v>
      </c>
      <c r="H53">
        <v>1</v>
      </c>
      <c r="I53" t="s">
        <v>449</v>
      </c>
      <c r="J53" t="s">
        <v>3</v>
      </c>
      <c r="K53" t="s">
        <v>450</v>
      </c>
      <c r="L53">
        <v>1191</v>
      </c>
      <c r="N53">
        <v>1013</v>
      </c>
      <c r="O53" t="s">
        <v>451</v>
      </c>
      <c r="P53" t="s">
        <v>451</v>
      </c>
      <c r="Q53">
        <v>1</v>
      </c>
      <c r="X53">
        <v>104.44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104.44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ROW(Source!A124)</f>
        <v>124</v>
      </c>
      <c r="B54">
        <v>1407492496</v>
      </c>
      <c r="C54">
        <v>1407492484</v>
      </c>
      <c r="D54">
        <v>1364551087</v>
      </c>
      <c r="E54">
        <v>1</v>
      </c>
      <c r="F54">
        <v>1</v>
      </c>
      <c r="G54">
        <v>39</v>
      </c>
      <c r="H54">
        <v>2</v>
      </c>
      <c r="I54" t="s">
        <v>500</v>
      </c>
      <c r="J54" t="s">
        <v>501</v>
      </c>
      <c r="K54" t="s">
        <v>502</v>
      </c>
      <c r="L54">
        <v>1368</v>
      </c>
      <c r="N54">
        <v>1011</v>
      </c>
      <c r="O54" t="s">
        <v>455</v>
      </c>
      <c r="P54" t="s">
        <v>455</v>
      </c>
      <c r="Q54">
        <v>1</v>
      </c>
      <c r="X54">
        <v>5.8</v>
      </c>
      <c r="Y54">
        <v>0</v>
      </c>
      <c r="Z54">
        <v>7.44</v>
      </c>
      <c r="AA54">
        <v>0.01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5.8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ROW(Source!A124)</f>
        <v>124</v>
      </c>
      <c r="B55">
        <v>1407492498</v>
      </c>
      <c r="C55">
        <v>1407492484</v>
      </c>
      <c r="D55">
        <v>1364551195</v>
      </c>
      <c r="E55">
        <v>1</v>
      </c>
      <c r="F55">
        <v>1</v>
      </c>
      <c r="G55">
        <v>39</v>
      </c>
      <c r="H55">
        <v>3</v>
      </c>
      <c r="I55" t="s">
        <v>494</v>
      </c>
      <c r="J55" t="s">
        <v>495</v>
      </c>
      <c r="K55" t="s">
        <v>496</v>
      </c>
      <c r="L55">
        <v>1296</v>
      </c>
      <c r="N55">
        <v>1002</v>
      </c>
      <c r="O55" t="s">
        <v>480</v>
      </c>
      <c r="P55" t="s">
        <v>480</v>
      </c>
      <c r="Q55">
        <v>1</v>
      </c>
      <c r="X55">
        <v>0.31</v>
      </c>
      <c r="Y55">
        <v>1404.31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0.31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ROW(Source!A124)</f>
        <v>124</v>
      </c>
      <c r="B56">
        <v>1407492499</v>
      </c>
      <c r="C56">
        <v>1407492484</v>
      </c>
      <c r="D56">
        <v>1364549590</v>
      </c>
      <c r="E56">
        <v>39</v>
      </c>
      <c r="F56">
        <v>1</v>
      </c>
      <c r="G56">
        <v>39</v>
      </c>
      <c r="H56">
        <v>3</v>
      </c>
      <c r="I56" t="s">
        <v>503</v>
      </c>
      <c r="J56" t="s">
        <v>3</v>
      </c>
      <c r="K56" t="s">
        <v>504</v>
      </c>
      <c r="L56">
        <v>1346</v>
      </c>
      <c r="N56">
        <v>1009</v>
      </c>
      <c r="O56" t="s">
        <v>466</v>
      </c>
      <c r="P56" t="s">
        <v>466</v>
      </c>
      <c r="Q56">
        <v>1</v>
      </c>
      <c r="X56">
        <v>1.08</v>
      </c>
      <c r="Y56">
        <v>239.14075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1.08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ROW(Source!A124)</f>
        <v>124</v>
      </c>
      <c r="B57">
        <v>1407492497</v>
      </c>
      <c r="C57">
        <v>1407492484</v>
      </c>
      <c r="D57">
        <v>1364549591</v>
      </c>
      <c r="E57">
        <v>39</v>
      </c>
      <c r="F57">
        <v>1</v>
      </c>
      <c r="G57">
        <v>39</v>
      </c>
      <c r="H57">
        <v>3</v>
      </c>
      <c r="I57" t="s">
        <v>505</v>
      </c>
      <c r="J57" t="s">
        <v>3</v>
      </c>
      <c r="K57" t="s">
        <v>506</v>
      </c>
      <c r="L57">
        <v>1346</v>
      </c>
      <c r="N57">
        <v>1009</v>
      </c>
      <c r="O57" t="s">
        <v>466</v>
      </c>
      <c r="P57" t="s">
        <v>466</v>
      </c>
      <c r="Q57">
        <v>1</v>
      </c>
      <c r="X57">
        <v>0.98</v>
      </c>
      <c r="Y57">
        <v>226.44336999999999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0.98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ROW(Source!A125)</f>
        <v>125</v>
      </c>
      <c r="B58">
        <v>1407492511</v>
      </c>
      <c r="C58">
        <v>1407492500</v>
      </c>
      <c r="D58">
        <v>1364549319</v>
      </c>
      <c r="E58">
        <v>39</v>
      </c>
      <c r="F58">
        <v>1</v>
      </c>
      <c r="G58">
        <v>39</v>
      </c>
      <c r="H58">
        <v>1</v>
      </c>
      <c r="I58" t="s">
        <v>449</v>
      </c>
      <c r="J58" t="s">
        <v>3</v>
      </c>
      <c r="K58" t="s">
        <v>450</v>
      </c>
      <c r="L58">
        <v>1191</v>
      </c>
      <c r="N58">
        <v>1013</v>
      </c>
      <c r="O58" t="s">
        <v>451</v>
      </c>
      <c r="P58" t="s">
        <v>451</v>
      </c>
      <c r="Q58">
        <v>1</v>
      </c>
      <c r="X58">
        <v>151.93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151.93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ROW(Source!A125)</f>
        <v>125</v>
      </c>
      <c r="B59">
        <v>1407492512</v>
      </c>
      <c r="C59">
        <v>1407492500</v>
      </c>
      <c r="D59">
        <v>1364551087</v>
      </c>
      <c r="E59">
        <v>1</v>
      </c>
      <c r="F59">
        <v>1</v>
      </c>
      <c r="G59">
        <v>39</v>
      </c>
      <c r="H59">
        <v>2</v>
      </c>
      <c r="I59" t="s">
        <v>500</v>
      </c>
      <c r="J59" t="s">
        <v>501</v>
      </c>
      <c r="K59" t="s">
        <v>502</v>
      </c>
      <c r="L59">
        <v>1368</v>
      </c>
      <c r="N59">
        <v>1011</v>
      </c>
      <c r="O59" t="s">
        <v>455</v>
      </c>
      <c r="P59" t="s">
        <v>455</v>
      </c>
      <c r="Q59">
        <v>1</v>
      </c>
      <c r="X59">
        <v>5.8</v>
      </c>
      <c r="Y59">
        <v>0</v>
      </c>
      <c r="Z59">
        <v>7.44</v>
      </c>
      <c r="AA59">
        <v>0.01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5.8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ROW(Source!A125)</f>
        <v>125</v>
      </c>
      <c r="B60">
        <v>1407492514</v>
      </c>
      <c r="C60">
        <v>1407492500</v>
      </c>
      <c r="D60">
        <v>1364551195</v>
      </c>
      <c r="E60">
        <v>1</v>
      </c>
      <c r="F60">
        <v>1</v>
      </c>
      <c r="G60">
        <v>39</v>
      </c>
      <c r="H60">
        <v>3</v>
      </c>
      <c r="I60" t="s">
        <v>494</v>
      </c>
      <c r="J60" t="s">
        <v>495</v>
      </c>
      <c r="K60" t="s">
        <v>496</v>
      </c>
      <c r="L60">
        <v>1296</v>
      </c>
      <c r="N60">
        <v>1002</v>
      </c>
      <c r="O60" t="s">
        <v>480</v>
      </c>
      <c r="P60" t="s">
        <v>480</v>
      </c>
      <c r="Q60">
        <v>1</v>
      </c>
      <c r="X60">
        <v>0.31</v>
      </c>
      <c r="Y60">
        <v>1404.31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0.31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ROW(Source!A125)</f>
        <v>125</v>
      </c>
      <c r="B61">
        <v>1407492515</v>
      </c>
      <c r="C61">
        <v>1407492500</v>
      </c>
      <c r="D61">
        <v>1364549590</v>
      </c>
      <c r="E61">
        <v>39</v>
      </c>
      <c r="F61">
        <v>1</v>
      </c>
      <c r="G61">
        <v>39</v>
      </c>
      <c r="H61">
        <v>3</v>
      </c>
      <c r="I61" t="s">
        <v>503</v>
      </c>
      <c r="J61" t="s">
        <v>3</v>
      </c>
      <c r="K61" t="s">
        <v>504</v>
      </c>
      <c r="L61">
        <v>1346</v>
      </c>
      <c r="N61">
        <v>1009</v>
      </c>
      <c r="O61" t="s">
        <v>466</v>
      </c>
      <c r="P61" t="s">
        <v>466</v>
      </c>
      <c r="Q61">
        <v>1</v>
      </c>
      <c r="X61">
        <v>1.08</v>
      </c>
      <c r="Y61">
        <v>239.14075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1.08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ROW(Source!A125)</f>
        <v>125</v>
      </c>
      <c r="B62">
        <v>1407492513</v>
      </c>
      <c r="C62">
        <v>1407492500</v>
      </c>
      <c r="D62">
        <v>1364549591</v>
      </c>
      <c r="E62">
        <v>39</v>
      </c>
      <c r="F62">
        <v>1</v>
      </c>
      <c r="G62">
        <v>39</v>
      </c>
      <c r="H62">
        <v>3</v>
      </c>
      <c r="I62" t="s">
        <v>505</v>
      </c>
      <c r="J62" t="s">
        <v>3</v>
      </c>
      <c r="K62" t="s">
        <v>506</v>
      </c>
      <c r="L62">
        <v>1346</v>
      </c>
      <c r="N62">
        <v>1009</v>
      </c>
      <c r="O62" t="s">
        <v>466</v>
      </c>
      <c r="P62" t="s">
        <v>466</v>
      </c>
      <c r="Q62">
        <v>1</v>
      </c>
      <c r="X62">
        <v>0.98</v>
      </c>
      <c r="Y62">
        <v>226.44336999999999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0.98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ROW(Source!A126)</f>
        <v>126</v>
      </c>
      <c r="B63">
        <v>1407492521</v>
      </c>
      <c r="C63">
        <v>1407492516</v>
      </c>
      <c r="D63">
        <v>1364549319</v>
      </c>
      <c r="E63">
        <v>39</v>
      </c>
      <c r="F63">
        <v>1</v>
      </c>
      <c r="G63">
        <v>39</v>
      </c>
      <c r="H63">
        <v>1</v>
      </c>
      <c r="I63" t="s">
        <v>449</v>
      </c>
      <c r="J63" t="s">
        <v>3</v>
      </c>
      <c r="K63" t="s">
        <v>450</v>
      </c>
      <c r="L63">
        <v>1191</v>
      </c>
      <c r="N63">
        <v>1013</v>
      </c>
      <c r="O63" t="s">
        <v>451</v>
      </c>
      <c r="P63" t="s">
        <v>451</v>
      </c>
      <c r="Q63">
        <v>1</v>
      </c>
      <c r="X63">
        <v>28.02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28.02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ROW(Source!A126)</f>
        <v>126</v>
      </c>
      <c r="B64">
        <v>1407492522</v>
      </c>
      <c r="C64">
        <v>1407492516</v>
      </c>
      <c r="D64">
        <v>1364551195</v>
      </c>
      <c r="E64">
        <v>1</v>
      </c>
      <c r="F64">
        <v>1</v>
      </c>
      <c r="G64">
        <v>39</v>
      </c>
      <c r="H64">
        <v>3</v>
      </c>
      <c r="I64" t="s">
        <v>494</v>
      </c>
      <c r="J64" t="s">
        <v>495</v>
      </c>
      <c r="K64" t="s">
        <v>496</v>
      </c>
      <c r="L64">
        <v>1296</v>
      </c>
      <c r="N64">
        <v>1002</v>
      </c>
      <c r="O64" t="s">
        <v>480</v>
      </c>
      <c r="P64" t="s">
        <v>480</v>
      </c>
      <c r="Q64">
        <v>1</v>
      </c>
      <c r="X64">
        <v>0.31</v>
      </c>
      <c r="Y64">
        <v>1404.31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0.31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ROW(Source!A127)</f>
        <v>127</v>
      </c>
      <c r="B65">
        <v>1407492526</v>
      </c>
      <c r="C65">
        <v>1407492523</v>
      </c>
      <c r="D65">
        <v>1364549319</v>
      </c>
      <c r="E65">
        <v>39</v>
      </c>
      <c r="F65">
        <v>1</v>
      </c>
      <c r="G65">
        <v>39</v>
      </c>
      <c r="H65">
        <v>1</v>
      </c>
      <c r="I65" t="s">
        <v>449</v>
      </c>
      <c r="J65" t="s">
        <v>3</v>
      </c>
      <c r="K65" t="s">
        <v>450</v>
      </c>
      <c r="L65">
        <v>1191</v>
      </c>
      <c r="N65">
        <v>1013</v>
      </c>
      <c r="O65" t="s">
        <v>451</v>
      </c>
      <c r="P65" t="s">
        <v>451</v>
      </c>
      <c r="Q65">
        <v>1</v>
      </c>
      <c r="X65">
        <v>0.9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20</v>
      </c>
      <c r="AG65">
        <v>3.6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ROW(Source!A128)</f>
        <v>128</v>
      </c>
      <c r="B66">
        <v>1407492530</v>
      </c>
      <c r="C66">
        <v>1407492527</v>
      </c>
      <c r="D66">
        <v>1364549319</v>
      </c>
      <c r="E66">
        <v>39</v>
      </c>
      <c r="F66">
        <v>1</v>
      </c>
      <c r="G66">
        <v>39</v>
      </c>
      <c r="H66">
        <v>1</v>
      </c>
      <c r="I66" t="s">
        <v>449</v>
      </c>
      <c r="J66" t="s">
        <v>3</v>
      </c>
      <c r="K66" t="s">
        <v>450</v>
      </c>
      <c r="L66">
        <v>1191</v>
      </c>
      <c r="N66">
        <v>1013</v>
      </c>
      <c r="O66" t="s">
        <v>451</v>
      </c>
      <c r="P66" t="s">
        <v>451</v>
      </c>
      <c r="Q66">
        <v>1</v>
      </c>
      <c r="X66">
        <v>2.64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20</v>
      </c>
      <c r="AG66">
        <v>10.56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ROW(Source!A129)</f>
        <v>129</v>
      </c>
      <c r="B67">
        <v>1407492540</v>
      </c>
      <c r="C67">
        <v>1407492531</v>
      </c>
      <c r="D67">
        <v>1364549319</v>
      </c>
      <c r="E67">
        <v>39</v>
      </c>
      <c r="F67">
        <v>1</v>
      </c>
      <c r="G67">
        <v>39</v>
      </c>
      <c r="H67">
        <v>1</v>
      </c>
      <c r="I67" t="s">
        <v>449</v>
      </c>
      <c r="J67" t="s">
        <v>3</v>
      </c>
      <c r="K67" t="s">
        <v>450</v>
      </c>
      <c r="L67">
        <v>1191</v>
      </c>
      <c r="N67">
        <v>1013</v>
      </c>
      <c r="O67" t="s">
        <v>451</v>
      </c>
      <c r="P67" t="s">
        <v>451</v>
      </c>
      <c r="Q67">
        <v>1</v>
      </c>
      <c r="X67">
        <v>29.54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29.54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ROW(Source!A129)</f>
        <v>129</v>
      </c>
      <c r="B68">
        <v>1407492541</v>
      </c>
      <c r="C68">
        <v>1407492531</v>
      </c>
      <c r="D68">
        <v>1364552178</v>
      </c>
      <c r="E68">
        <v>1</v>
      </c>
      <c r="F68">
        <v>1</v>
      </c>
      <c r="G68">
        <v>39</v>
      </c>
      <c r="H68">
        <v>3</v>
      </c>
      <c r="I68" t="s">
        <v>507</v>
      </c>
      <c r="J68" t="s">
        <v>508</v>
      </c>
      <c r="K68" t="s">
        <v>509</v>
      </c>
      <c r="L68">
        <v>1348</v>
      </c>
      <c r="N68">
        <v>1009</v>
      </c>
      <c r="O68" t="s">
        <v>487</v>
      </c>
      <c r="P68" t="s">
        <v>487</v>
      </c>
      <c r="Q68">
        <v>1000</v>
      </c>
      <c r="X68">
        <v>5.0000000000000001E-3</v>
      </c>
      <c r="Y68">
        <v>159447.67999999999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5.0000000000000001E-3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ROW(Source!A129)</f>
        <v>129</v>
      </c>
      <c r="B69">
        <v>1407492542</v>
      </c>
      <c r="C69">
        <v>1407492531</v>
      </c>
      <c r="D69">
        <v>1364553125</v>
      </c>
      <c r="E69">
        <v>1</v>
      </c>
      <c r="F69">
        <v>1</v>
      </c>
      <c r="G69">
        <v>39</v>
      </c>
      <c r="H69">
        <v>3</v>
      </c>
      <c r="I69" t="s">
        <v>456</v>
      </c>
      <c r="J69" t="s">
        <v>457</v>
      </c>
      <c r="K69" t="s">
        <v>458</v>
      </c>
      <c r="L69">
        <v>1339</v>
      </c>
      <c r="N69">
        <v>1007</v>
      </c>
      <c r="O69" t="s">
        <v>459</v>
      </c>
      <c r="P69" t="s">
        <v>459</v>
      </c>
      <c r="Q69">
        <v>1</v>
      </c>
      <c r="X69">
        <v>7.8</v>
      </c>
      <c r="Y69">
        <v>49.83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7.8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ROW(Source!A129)</f>
        <v>129</v>
      </c>
      <c r="B70">
        <v>1407492543</v>
      </c>
      <c r="C70">
        <v>1407492531</v>
      </c>
      <c r="D70">
        <v>1364557069</v>
      </c>
      <c r="E70">
        <v>1</v>
      </c>
      <c r="F70">
        <v>1</v>
      </c>
      <c r="G70">
        <v>39</v>
      </c>
      <c r="H70">
        <v>3</v>
      </c>
      <c r="I70" t="s">
        <v>510</v>
      </c>
      <c r="J70" t="s">
        <v>511</v>
      </c>
      <c r="K70" t="s">
        <v>512</v>
      </c>
      <c r="L70">
        <v>1346</v>
      </c>
      <c r="N70">
        <v>1009</v>
      </c>
      <c r="O70" t="s">
        <v>466</v>
      </c>
      <c r="P70" t="s">
        <v>466</v>
      </c>
      <c r="Q70">
        <v>1</v>
      </c>
      <c r="X70">
        <v>2</v>
      </c>
      <c r="Y70">
        <v>774.49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2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ROW(Source!A130)</f>
        <v>130</v>
      </c>
      <c r="B71">
        <v>1407492549</v>
      </c>
      <c r="C71">
        <v>1407492544</v>
      </c>
      <c r="D71">
        <v>1364549319</v>
      </c>
      <c r="E71">
        <v>39</v>
      </c>
      <c r="F71">
        <v>1</v>
      </c>
      <c r="G71">
        <v>39</v>
      </c>
      <c r="H71">
        <v>1</v>
      </c>
      <c r="I71" t="s">
        <v>449</v>
      </c>
      <c r="J71" t="s">
        <v>3</v>
      </c>
      <c r="K71" t="s">
        <v>450</v>
      </c>
      <c r="L71">
        <v>1191</v>
      </c>
      <c r="N71">
        <v>1013</v>
      </c>
      <c r="O71" t="s">
        <v>451</v>
      </c>
      <c r="P71" t="s">
        <v>451</v>
      </c>
      <c r="Q71">
        <v>1</v>
      </c>
      <c r="X71">
        <v>28.02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28.02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ROW(Source!A130)</f>
        <v>130</v>
      </c>
      <c r="B72">
        <v>1407492550</v>
      </c>
      <c r="C72">
        <v>1407492544</v>
      </c>
      <c r="D72">
        <v>1364551195</v>
      </c>
      <c r="E72">
        <v>1</v>
      </c>
      <c r="F72">
        <v>1</v>
      </c>
      <c r="G72">
        <v>39</v>
      </c>
      <c r="H72">
        <v>3</v>
      </c>
      <c r="I72" t="s">
        <v>494</v>
      </c>
      <c r="J72" t="s">
        <v>495</v>
      </c>
      <c r="K72" t="s">
        <v>496</v>
      </c>
      <c r="L72">
        <v>1296</v>
      </c>
      <c r="N72">
        <v>1002</v>
      </c>
      <c r="O72" t="s">
        <v>480</v>
      </c>
      <c r="P72" t="s">
        <v>480</v>
      </c>
      <c r="Q72">
        <v>1</v>
      </c>
      <c r="X72">
        <v>0.31</v>
      </c>
      <c r="Y72">
        <v>1404.31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0.31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ROW(Source!A131)</f>
        <v>131</v>
      </c>
      <c r="B73">
        <v>1407492562</v>
      </c>
      <c r="C73">
        <v>1407492551</v>
      </c>
      <c r="D73">
        <v>1364549319</v>
      </c>
      <c r="E73">
        <v>39</v>
      </c>
      <c r="F73">
        <v>1</v>
      </c>
      <c r="G73">
        <v>39</v>
      </c>
      <c r="H73">
        <v>1</v>
      </c>
      <c r="I73" t="s">
        <v>449</v>
      </c>
      <c r="J73" t="s">
        <v>3</v>
      </c>
      <c r="K73" t="s">
        <v>450</v>
      </c>
      <c r="L73">
        <v>1191</v>
      </c>
      <c r="N73">
        <v>1013</v>
      </c>
      <c r="O73" t="s">
        <v>451</v>
      </c>
      <c r="P73" t="s">
        <v>451</v>
      </c>
      <c r="Q73">
        <v>1</v>
      </c>
      <c r="X73">
        <v>5.7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5.7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ROW(Source!A131)</f>
        <v>131</v>
      </c>
      <c r="B74">
        <v>1407492563</v>
      </c>
      <c r="C74">
        <v>1407492551</v>
      </c>
      <c r="D74">
        <v>1364550439</v>
      </c>
      <c r="E74">
        <v>1</v>
      </c>
      <c r="F74">
        <v>1</v>
      </c>
      <c r="G74">
        <v>39</v>
      </c>
      <c r="H74">
        <v>2</v>
      </c>
      <c r="I74" t="s">
        <v>513</v>
      </c>
      <c r="J74" t="s">
        <v>514</v>
      </c>
      <c r="K74" t="s">
        <v>515</v>
      </c>
      <c r="L74">
        <v>1368</v>
      </c>
      <c r="N74">
        <v>1011</v>
      </c>
      <c r="O74" t="s">
        <v>455</v>
      </c>
      <c r="P74" t="s">
        <v>455</v>
      </c>
      <c r="Q74">
        <v>1</v>
      </c>
      <c r="X74">
        <v>0.6</v>
      </c>
      <c r="Y74">
        <v>0</v>
      </c>
      <c r="Z74">
        <v>46.6</v>
      </c>
      <c r="AA74">
        <v>1.85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0.6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ROW(Source!A131)</f>
        <v>131</v>
      </c>
      <c r="B75">
        <v>1407492564</v>
      </c>
      <c r="C75">
        <v>1407492551</v>
      </c>
      <c r="D75">
        <v>1364552913</v>
      </c>
      <c r="E75">
        <v>1</v>
      </c>
      <c r="F75">
        <v>1</v>
      </c>
      <c r="G75">
        <v>39</v>
      </c>
      <c r="H75">
        <v>3</v>
      </c>
      <c r="I75" t="s">
        <v>463</v>
      </c>
      <c r="J75" t="s">
        <v>464</v>
      </c>
      <c r="K75" t="s">
        <v>465</v>
      </c>
      <c r="L75">
        <v>1346</v>
      </c>
      <c r="N75">
        <v>1009</v>
      </c>
      <c r="O75" t="s">
        <v>466</v>
      </c>
      <c r="P75" t="s">
        <v>466</v>
      </c>
      <c r="Q75">
        <v>1</v>
      </c>
      <c r="X75">
        <v>2</v>
      </c>
      <c r="Y75">
        <v>26.09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2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ROW(Source!A131)</f>
        <v>131</v>
      </c>
      <c r="B76">
        <v>1407492565</v>
      </c>
      <c r="C76">
        <v>1407492551</v>
      </c>
      <c r="D76">
        <v>1364553228</v>
      </c>
      <c r="E76">
        <v>1</v>
      </c>
      <c r="F76">
        <v>1</v>
      </c>
      <c r="G76">
        <v>39</v>
      </c>
      <c r="H76">
        <v>3</v>
      </c>
      <c r="I76" t="s">
        <v>516</v>
      </c>
      <c r="J76" t="s">
        <v>517</v>
      </c>
      <c r="K76" t="s">
        <v>518</v>
      </c>
      <c r="L76">
        <v>1354</v>
      </c>
      <c r="N76">
        <v>16987630</v>
      </c>
      <c r="O76" t="s">
        <v>42</v>
      </c>
      <c r="P76" t="s">
        <v>42</v>
      </c>
      <c r="Q76">
        <v>1</v>
      </c>
      <c r="X76">
        <v>1</v>
      </c>
      <c r="Y76">
        <v>30.23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ROW(Source!A131)</f>
        <v>131</v>
      </c>
      <c r="B77">
        <v>1407492566</v>
      </c>
      <c r="C77">
        <v>1407492551</v>
      </c>
      <c r="D77">
        <v>1364551406</v>
      </c>
      <c r="E77">
        <v>1</v>
      </c>
      <c r="F77">
        <v>1</v>
      </c>
      <c r="G77">
        <v>39</v>
      </c>
      <c r="H77">
        <v>3</v>
      </c>
      <c r="I77" t="s">
        <v>477</v>
      </c>
      <c r="J77" t="s">
        <v>478</v>
      </c>
      <c r="K77" t="s">
        <v>479</v>
      </c>
      <c r="L77">
        <v>1296</v>
      </c>
      <c r="N77">
        <v>1002</v>
      </c>
      <c r="O77" t="s">
        <v>480</v>
      </c>
      <c r="P77" t="s">
        <v>480</v>
      </c>
      <c r="Q77">
        <v>1</v>
      </c>
      <c r="X77">
        <v>2</v>
      </c>
      <c r="Y77">
        <v>2893.54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ROW(Source!A132)</f>
        <v>132</v>
      </c>
      <c r="B78">
        <v>1407492572</v>
      </c>
      <c r="C78">
        <v>1407492567</v>
      </c>
      <c r="D78">
        <v>1364549319</v>
      </c>
      <c r="E78">
        <v>39</v>
      </c>
      <c r="F78">
        <v>1</v>
      </c>
      <c r="G78">
        <v>39</v>
      </c>
      <c r="H78">
        <v>1</v>
      </c>
      <c r="I78" t="s">
        <v>449</v>
      </c>
      <c r="J78" t="s">
        <v>3</v>
      </c>
      <c r="K78" t="s">
        <v>450</v>
      </c>
      <c r="L78">
        <v>1191</v>
      </c>
      <c r="N78">
        <v>1013</v>
      </c>
      <c r="O78" t="s">
        <v>451</v>
      </c>
      <c r="P78" t="s">
        <v>451</v>
      </c>
      <c r="Q78">
        <v>1</v>
      </c>
      <c r="X78">
        <v>8.4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69</v>
      </c>
      <c r="AG78">
        <v>25.200000000000003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ROW(Source!A132)</f>
        <v>132</v>
      </c>
      <c r="B79">
        <v>1407492573</v>
      </c>
      <c r="C79">
        <v>1407492567</v>
      </c>
      <c r="D79">
        <v>1364552913</v>
      </c>
      <c r="E79">
        <v>1</v>
      </c>
      <c r="F79">
        <v>1</v>
      </c>
      <c r="G79">
        <v>39</v>
      </c>
      <c r="H79">
        <v>3</v>
      </c>
      <c r="I79" t="s">
        <v>463</v>
      </c>
      <c r="J79" t="s">
        <v>464</v>
      </c>
      <c r="K79" t="s">
        <v>465</v>
      </c>
      <c r="L79">
        <v>1346</v>
      </c>
      <c r="N79">
        <v>1009</v>
      </c>
      <c r="O79" t="s">
        <v>466</v>
      </c>
      <c r="P79" t="s">
        <v>466</v>
      </c>
      <c r="Q79">
        <v>1</v>
      </c>
      <c r="X79">
        <v>2</v>
      </c>
      <c r="Y79">
        <v>26.09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69</v>
      </c>
      <c r="AG79">
        <v>6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ROW(Source!A133)</f>
        <v>133</v>
      </c>
      <c r="B80">
        <v>1407492577</v>
      </c>
      <c r="C80">
        <v>1407492574</v>
      </c>
      <c r="D80">
        <v>1364549319</v>
      </c>
      <c r="E80">
        <v>39</v>
      </c>
      <c r="F80">
        <v>1</v>
      </c>
      <c r="G80">
        <v>39</v>
      </c>
      <c r="H80">
        <v>1</v>
      </c>
      <c r="I80" t="s">
        <v>449</v>
      </c>
      <c r="J80" t="s">
        <v>3</v>
      </c>
      <c r="K80" t="s">
        <v>450</v>
      </c>
      <c r="L80">
        <v>1191</v>
      </c>
      <c r="N80">
        <v>1013</v>
      </c>
      <c r="O80" t="s">
        <v>451</v>
      </c>
      <c r="P80" t="s">
        <v>451</v>
      </c>
      <c r="Q80">
        <v>1</v>
      </c>
      <c r="X80">
        <v>0.34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69</v>
      </c>
      <c r="AG80">
        <v>1.02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ROW(Source!A134)</f>
        <v>134</v>
      </c>
      <c r="B81">
        <v>1407492585</v>
      </c>
      <c r="C81">
        <v>1407492578</v>
      </c>
      <c r="D81">
        <v>1364549319</v>
      </c>
      <c r="E81">
        <v>39</v>
      </c>
      <c r="F81">
        <v>1</v>
      </c>
      <c r="G81">
        <v>39</v>
      </c>
      <c r="H81">
        <v>1</v>
      </c>
      <c r="I81" t="s">
        <v>449</v>
      </c>
      <c r="J81" t="s">
        <v>3</v>
      </c>
      <c r="K81" t="s">
        <v>450</v>
      </c>
      <c r="L81">
        <v>1191</v>
      </c>
      <c r="N81">
        <v>1013</v>
      </c>
      <c r="O81" t="s">
        <v>451</v>
      </c>
      <c r="P81" t="s">
        <v>451</v>
      </c>
      <c r="Q81">
        <v>1</v>
      </c>
      <c r="X81">
        <v>5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5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ROW(Source!A134)</f>
        <v>134</v>
      </c>
      <c r="B82">
        <v>1407492586</v>
      </c>
      <c r="C82">
        <v>1407492578</v>
      </c>
      <c r="D82">
        <v>1364552913</v>
      </c>
      <c r="E82">
        <v>1</v>
      </c>
      <c r="F82">
        <v>1</v>
      </c>
      <c r="G82">
        <v>39</v>
      </c>
      <c r="H82">
        <v>3</v>
      </c>
      <c r="I82" t="s">
        <v>463</v>
      </c>
      <c r="J82" t="s">
        <v>464</v>
      </c>
      <c r="K82" t="s">
        <v>465</v>
      </c>
      <c r="L82">
        <v>1346</v>
      </c>
      <c r="N82">
        <v>1009</v>
      </c>
      <c r="O82" t="s">
        <v>466</v>
      </c>
      <c r="P82" t="s">
        <v>466</v>
      </c>
      <c r="Q82">
        <v>1</v>
      </c>
      <c r="X82">
        <v>0.1</v>
      </c>
      <c r="Y82">
        <v>26.09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0.1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ROW(Source!A134)</f>
        <v>134</v>
      </c>
      <c r="B83">
        <v>1407492587</v>
      </c>
      <c r="C83">
        <v>1407492578</v>
      </c>
      <c r="D83">
        <v>1364551441</v>
      </c>
      <c r="E83">
        <v>1</v>
      </c>
      <c r="F83">
        <v>1</v>
      </c>
      <c r="G83">
        <v>39</v>
      </c>
      <c r="H83">
        <v>3</v>
      </c>
      <c r="I83" t="s">
        <v>519</v>
      </c>
      <c r="J83" t="s">
        <v>520</v>
      </c>
      <c r="K83" t="s">
        <v>521</v>
      </c>
      <c r="L83">
        <v>1296</v>
      </c>
      <c r="N83">
        <v>1002</v>
      </c>
      <c r="O83" t="s">
        <v>480</v>
      </c>
      <c r="P83" t="s">
        <v>480</v>
      </c>
      <c r="Q83">
        <v>1</v>
      </c>
      <c r="X83">
        <v>1.7999999999999999E-2</v>
      </c>
      <c r="Y83">
        <v>5700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1.7999999999999999E-2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ROW(Source!A170)</f>
        <v>170</v>
      </c>
      <c r="B84">
        <v>1407492591</v>
      </c>
      <c r="C84">
        <v>1407492588</v>
      </c>
      <c r="D84">
        <v>1364549319</v>
      </c>
      <c r="E84">
        <v>39</v>
      </c>
      <c r="F84">
        <v>1</v>
      </c>
      <c r="G84">
        <v>39</v>
      </c>
      <c r="H84">
        <v>1</v>
      </c>
      <c r="I84" t="s">
        <v>449</v>
      </c>
      <c r="J84" t="s">
        <v>3</v>
      </c>
      <c r="K84" t="s">
        <v>450</v>
      </c>
      <c r="L84">
        <v>1191</v>
      </c>
      <c r="N84">
        <v>1013</v>
      </c>
      <c r="O84" t="s">
        <v>451</v>
      </c>
      <c r="P84" t="s">
        <v>451</v>
      </c>
      <c r="Q84">
        <v>1</v>
      </c>
      <c r="X84">
        <v>0.2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201</v>
      </c>
      <c r="AG84">
        <v>23.6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ROW(Source!A171)</f>
        <v>171</v>
      </c>
      <c r="B85">
        <v>1407492595</v>
      </c>
      <c r="C85">
        <v>1407492592</v>
      </c>
      <c r="D85">
        <v>1364549319</v>
      </c>
      <c r="E85">
        <v>39</v>
      </c>
      <c r="F85">
        <v>1</v>
      </c>
      <c r="G85">
        <v>39</v>
      </c>
      <c r="H85">
        <v>1</v>
      </c>
      <c r="I85" t="s">
        <v>449</v>
      </c>
      <c r="J85" t="s">
        <v>3</v>
      </c>
      <c r="K85" t="s">
        <v>450</v>
      </c>
      <c r="L85">
        <v>1191</v>
      </c>
      <c r="N85">
        <v>1013</v>
      </c>
      <c r="O85" t="s">
        <v>451</v>
      </c>
      <c r="P85" t="s">
        <v>451</v>
      </c>
      <c r="Q85">
        <v>1</v>
      </c>
      <c r="X85">
        <v>0.37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20</v>
      </c>
      <c r="AG85">
        <v>1.48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ROW(Source!A172)</f>
        <v>172</v>
      </c>
      <c r="B86">
        <v>1407492601</v>
      </c>
      <c r="C86">
        <v>1407492596</v>
      </c>
      <c r="D86">
        <v>1364549319</v>
      </c>
      <c r="E86">
        <v>39</v>
      </c>
      <c r="F86">
        <v>1</v>
      </c>
      <c r="G86">
        <v>39</v>
      </c>
      <c r="H86">
        <v>1</v>
      </c>
      <c r="I86" t="s">
        <v>449</v>
      </c>
      <c r="J86" t="s">
        <v>3</v>
      </c>
      <c r="K86" t="s">
        <v>450</v>
      </c>
      <c r="L86">
        <v>1191</v>
      </c>
      <c r="N86">
        <v>1013</v>
      </c>
      <c r="O86" t="s">
        <v>451</v>
      </c>
      <c r="P86" t="s">
        <v>451</v>
      </c>
      <c r="Q86">
        <v>1</v>
      </c>
      <c r="X86">
        <v>0.48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0.48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ROW(Source!A172)</f>
        <v>172</v>
      </c>
      <c r="B87">
        <v>1407492602</v>
      </c>
      <c r="C87">
        <v>1407492596</v>
      </c>
      <c r="D87">
        <v>1364552913</v>
      </c>
      <c r="E87">
        <v>1</v>
      </c>
      <c r="F87">
        <v>1</v>
      </c>
      <c r="G87">
        <v>39</v>
      </c>
      <c r="H87">
        <v>3</v>
      </c>
      <c r="I87" t="s">
        <v>463</v>
      </c>
      <c r="J87" t="s">
        <v>464</v>
      </c>
      <c r="K87" t="s">
        <v>465</v>
      </c>
      <c r="L87">
        <v>1346</v>
      </c>
      <c r="N87">
        <v>1009</v>
      </c>
      <c r="O87" t="s">
        <v>466</v>
      </c>
      <c r="P87" t="s">
        <v>466</v>
      </c>
      <c r="Q87">
        <v>1</v>
      </c>
      <c r="X87">
        <v>0.05</v>
      </c>
      <c r="Y87">
        <v>26.09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0.05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ROW(Source!A173)</f>
        <v>173</v>
      </c>
      <c r="B88">
        <v>1407492610</v>
      </c>
      <c r="C88">
        <v>1407492603</v>
      </c>
      <c r="D88">
        <v>1364549319</v>
      </c>
      <c r="E88">
        <v>39</v>
      </c>
      <c r="F88">
        <v>1</v>
      </c>
      <c r="G88">
        <v>39</v>
      </c>
      <c r="H88">
        <v>1</v>
      </c>
      <c r="I88" t="s">
        <v>449</v>
      </c>
      <c r="J88" t="s">
        <v>3</v>
      </c>
      <c r="K88" t="s">
        <v>450</v>
      </c>
      <c r="L88">
        <v>1191</v>
      </c>
      <c r="N88">
        <v>1013</v>
      </c>
      <c r="O88" t="s">
        <v>451</v>
      </c>
      <c r="P88" t="s">
        <v>451</v>
      </c>
      <c r="Q88">
        <v>1</v>
      </c>
      <c r="X88">
        <v>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20</v>
      </c>
      <c r="AG88">
        <v>24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ROW(Source!A173)</f>
        <v>173</v>
      </c>
      <c r="B89">
        <v>1407492611</v>
      </c>
      <c r="C89">
        <v>1407492603</v>
      </c>
      <c r="D89">
        <v>1364551021</v>
      </c>
      <c r="E89">
        <v>1</v>
      </c>
      <c r="F89">
        <v>1</v>
      </c>
      <c r="G89">
        <v>39</v>
      </c>
      <c r="H89">
        <v>2</v>
      </c>
      <c r="I89" t="s">
        <v>470</v>
      </c>
      <c r="J89" t="s">
        <v>471</v>
      </c>
      <c r="K89" t="s">
        <v>472</v>
      </c>
      <c r="L89">
        <v>1368</v>
      </c>
      <c r="N89">
        <v>1011</v>
      </c>
      <c r="O89" t="s">
        <v>455</v>
      </c>
      <c r="P89" t="s">
        <v>455</v>
      </c>
      <c r="Q89">
        <v>1</v>
      </c>
      <c r="X89">
        <v>0.7</v>
      </c>
      <c r="Y89">
        <v>0</v>
      </c>
      <c r="Z89">
        <v>1490.46</v>
      </c>
      <c r="AA89">
        <v>808.44</v>
      </c>
      <c r="AB89">
        <v>0</v>
      </c>
      <c r="AC89">
        <v>0</v>
      </c>
      <c r="AD89">
        <v>1</v>
      </c>
      <c r="AE89">
        <v>0</v>
      </c>
      <c r="AF89" t="s">
        <v>20</v>
      </c>
      <c r="AG89">
        <v>2.8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ROW(Source!A173)</f>
        <v>173</v>
      </c>
      <c r="B90">
        <v>1407492612</v>
      </c>
      <c r="C90">
        <v>1407492603</v>
      </c>
      <c r="D90">
        <v>1364552913</v>
      </c>
      <c r="E90">
        <v>1</v>
      </c>
      <c r="F90">
        <v>1</v>
      </c>
      <c r="G90">
        <v>39</v>
      </c>
      <c r="H90">
        <v>3</v>
      </c>
      <c r="I90" t="s">
        <v>463</v>
      </c>
      <c r="J90" t="s">
        <v>464</v>
      </c>
      <c r="K90" t="s">
        <v>465</v>
      </c>
      <c r="L90">
        <v>1346</v>
      </c>
      <c r="N90">
        <v>1009</v>
      </c>
      <c r="O90" t="s">
        <v>466</v>
      </c>
      <c r="P90" t="s">
        <v>466</v>
      </c>
      <c r="Q90">
        <v>1</v>
      </c>
      <c r="X90">
        <v>0.03</v>
      </c>
      <c r="Y90">
        <v>26.09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20</v>
      </c>
      <c r="AG90">
        <v>0.12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ROW(Source!A174)</f>
        <v>174</v>
      </c>
      <c r="B91">
        <v>1407492618</v>
      </c>
      <c r="C91">
        <v>1407492613</v>
      </c>
      <c r="D91">
        <v>1364549319</v>
      </c>
      <c r="E91">
        <v>39</v>
      </c>
      <c r="F91">
        <v>1</v>
      </c>
      <c r="G91">
        <v>39</v>
      </c>
      <c r="H91">
        <v>1</v>
      </c>
      <c r="I91" t="s">
        <v>449</v>
      </c>
      <c r="J91" t="s">
        <v>3</v>
      </c>
      <c r="K91" t="s">
        <v>450</v>
      </c>
      <c r="L91">
        <v>1191</v>
      </c>
      <c r="N91">
        <v>1013</v>
      </c>
      <c r="O91" t="s">
        <v>451</v>
      </c>
      <c r="P91" t="s">
        <v>451</v>
      </c>
      <c r="Q91">
        <v>1</v>
      </c>
      <c r="X91">
        <v>10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10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ROW(Source!A174)</f>
        <v>174</v>
      </c>
      <c r="B92">
        <v>1407492619</v>
      </c>
      <c r="C92">
        <v>1407492613</v>
      </c>
      <c r="D92">
        <v>1364552915</v>
      </c>
      <c r="E92">
        <v>1</v>
      </c>
      <c r="F92">
        <v>1</v>
      </c>
      <c r="G92">
        <v>39</v>
      </c>
      <c r="H92">
        <v>3</v>
      </c>
      <c r="I92" t="s">
        <v>522</v>
      </c>
      <c r="J92" t="s">
        <v>523</v>
      </c>
      <c r="K92" t="s">
        <v>524</v>
      </c>
      <c r="L92">
        <v>1346</v>
      </c>
      <c r="N92">
        <v>1009</v>
      </c>
      <c r="O92" t="s">
        <v>466</v>
      </c>
      <c r="P92" t="s">
        <v>466</v>
      </c>
      <c r="Q92">
        <v>1</v>
      </c>
      <c r="X92">
        <v>0.06</v>
      </c>
      <c r="Y92">
        <v>350.97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0.06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ROW(Source!A175)</f>
        <v>175</v>
      </c>
      <c r="B93">
        <v>1407492623</v>
      </c>
      <c r="C93">
        <v>1407492620</v>
      </c>
      <c r="D93">
        <v>1364549319</v>
      </c>
      <c r="E93">
        <v>39</v>
      </c>
      <c r="F93">
        <v>1</v>
      </c>
      <c r="G93">
        <v>39</v>
      </c>
      <c r="H93">
        <v>1</v>
      </c>
      <c r="I93" t="s">
        <v>449</v>
      </c>
      <c r="J93" t="s">
        <v>3</v>
      </c>
      <c r="K93" t="s">
        <v>450</v>
      </c>
      <c r="L93">
        <v>1191</v>
      </c>
      <c r="N93">
        <v>1013</v>
      </c>
      <c r="O93" t="s">
        <v>451</v>
      </c>
      <c r="P93" t="s">
        <v>451</v>
      </c>
      <c r="Q93">
        <v>1</v>
      </c>
      <c r="X93">
        <v>0.24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0.24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ROW(Source!A211)</f>
        <v>211</v>
      </c>
      <c r="B94">
        <v>1407492627</v>
      </c>
      <c r="C94">
        <v>1407492624</v>
      </c>
      <c r="D94">
        <v>1364549319</v>
      </c>
      <c r="E94">
        <v>39</v>
      </c>
      <c r="F94">
        <v>1</v>
      </c>
      <c r="G94">
        <v>39</v>
      </c>
      <c r="H94">
        <v>1</v>
      </c>
      <c r="I94" t="s">
        <v>449</v>
      </c>
      <c r="J94" t="s">
        <v>3</v>
      </c>
      <c r="K94" t="s">
        <v>450</v>
      </c>
      <c r="L94">
        <v>1191</v>
      </c>
      <c r="N94">
        <v>1013</v>
      </c>
      <c r="O94" t="s">
        <v>451</v>
      </c>
      <c r="P94" t="s">
        <v>451</v>
      </c>
      <c r="Q94">
        <v>1</v>
      </c>
      <c r="X94">
        <v>0.2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201</v>
      </c>
      <c r="AG94">
        <v>23.6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ROW(Source!A212)</f>
        <v>212</v>
      </c>
      <c r="B95">
        <v>1407492631</v>
      </c>
      <c r="C95">
        <v>1407492628</v>
      </c>
      <c r="D95">
        <v>1364549319</v>
      </c>
      <c r="E95">
        <v>39</v>
      </c>
      <c r="F95">
        <v>1</v>
      </c>
      <c r="G95">
        <v>39</v>
      </c>
      <c r="H95">
        <v>1</v>
      </c>
      <c r="I95" t="s">
        <v>449</v>
      </c>
      <c r="J95" t="s">
        <v>3</v>
      </c>
      <c r="K95" t="s">
        <v>450</v>
      </c>
      <c r="L95">
        <v>1191</v>
      </c>
      <c r="N95">
        <v>1013</v>
      </c>
      <c r="O95" t="s">
        <v>451</v>
      </c>
      <c r="P95" t="s">
        <v>451</v>
      </c>
      <c r="Q95">
        <v>1</v>
      </c>
      <c r="X95">
        <v>0.37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20</v>
      </c>
      <c r="AG95">
        <v>1.48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ROW(Source!A213)</f>
        <v>213</v>
      </c>
      <c r="B96">
        <v>1407492635</v>
      </c>
      <c r="C96">
        <v>1407492632</v>
      </c>
      <c r="D96">
        <v>1364549319</v>
      </c>
      <c r="E96">
        <v>39</v>
      </c>
      <c r="F96">
        <v>1</v>
      </c>
      <c r="G96">
        <v>39</v>
      </c>
      <c r="H96">
        <v>1</v>
      </c>
      <c r="I96" t="s">
        <v>449</v>
      </c>
      <c r="J96" t="s">
        <v>3</v>
      </c>
      <c r="K96" t="s">
        <v>450</v>
      </c>
      <c r="L96">
        <v>1191</v>
      </c>
      <c r="N96">
        <v>1013</v>
      </c>
      <c r="O96" t="s">
        <v>451</v>
      </c>
      <c r="P96" t="s">
        <v>451</v>
      </c>
      <c r="Q96">
        <v>1</v>
      </c>
      <c r="X96">
        <v>7.0000000000000007E-2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201</v>
      </c>
      <c r="AG96">
        <v>8.2600000000000016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ROW(Source!A214)</f>
        <v>214</v>
      </c>
      <c r="B97">
        <v>1407492641</v>
      </c>
      <c r="C97">
        <v>1407492636</v>
      </c>
      <c r="D97">
        <v>1364549319</v>
      </c>
      <c r="E97">
        <v>39</v>
      </c>
      <c r="F97">
        <v>1</v>
      </c>
      <c r="G97">
        <v>39</v>
      </c>
      <c r="H97">
        <v>1</v>
      </c>
      <c r="I97" t="s">
        <v>449</v>
      </c>
      <c r="J97" t="s">
        <v>3</v>
      </c>
      <c r="K97" t="s">
        <v>450</v>
      </c>
      <c r="L97">
        <v>1191</v>
      </c>
      <c r="N97">
        <v>1013</v>
      </c>
      <c r="O97" t="s">
        <v>451</v>
      </c>
      <c r="P97" t="s">
        <v>451</v>
      </c>
      <c r="Q97">
        <v>1</v>
      </c>
      <c r="X97">
        <v>0.17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20</v>
      </c>
      <c r="AG97">
        <v>0.68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ROW(Source!A214)</f>
        <v>214</v>
      </c>
      <c r="B98">
        <v>1407492642</v>
      </c>
      <c r="C98">
        <v>1407492636</v>
      </c>
      <c r="D98">
        <v>1364552913</v>
      </c>
      <c r="E98">
        <v>1</v>
      </c>
      <c r="F98">
        <v>1</v>
      </c>
      <c r="G98">
        <v>39</v>
      </c>
      <c r="H98">
        <v>3</v>
      </c>
      <c r="I98" t="s">
        <v>463</v>
      </c>
      <c r="J98" t="s">
        <v>464</v>
      </c>
      <c r="K98" t="s">
        <v>465</v>
      </c>
      <c r="L98">
        <v>1346</v>
      </c>
      <c r="N98">
        <v>1009</v>
      </c>
      <c r="O98" t="s">
        <v>466</v>
      </c>
      <c r="P98" t="s">
        <v>466</v>
      </c>
      <c r="Q98">
        <v>1</v>
      </c>
      <c r="X98">
        <v>0.05</v>
      </c>
      <c r="Y98">
        <v>26.09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20</v>
      </c>
      <c r="AG98">
        <v>0.2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ROW(Source!A215)</f>
        <v>215</v>
      </c>
      <c r="B99">
        <v>1407492650</v>
      </c>
      <c r="C99">
        <v>1407492643</v>
      </c>
      <c r="D99">
        <v>1364549319</v>
      </c>
      <c r="E99">
        <v>39</v>
      </c>
      <c r="F99">
        <v>1</v>
      </c>
      <c r="G99">
        <v>39</v>
      </c>
      <c r="H99">
        <v>1</v>
      </c>
      <c r="I99" t="s">
        <v>449</v>
      </c>
      <c r="J99" t="s">
        <v>3</v>
      </c>
      <c r="K99" t="s">
        <v>450</v>
      </c>
      <c r="L99">
        <v>1191</v>
      </c>
      <c r="N99">
        <v>1013</v>
      </c>
      <c r="O99" t="s">
        <v>451</v>
      </c>
      <c r="P99" t="s">
        <v>451</v>
      </c>
      <c r="Q99">
        <v>1</v>
      </c>
      <c r="X99">
        <v>0.5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52</v>
      </c>
      <c r="AG99">
        <v>1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ROW(Source!A215)</f>
        <v>215</v>
      </c>
      <c r="B100">
        <v>1407492651</v>
      </c>
      <c r="C100">
        <v>1407492643</v>
      </c>
      <c r="D100">
        <v>1364551021</v>
      </c>
      <c r="E100">
        <v>1</v>
      </c>
      <c r="F100">
        <v>1</v>
      </c>
      <c r="G100">
        <v>39</v>
      </c>
      <c r="H100">
        <v>2</v>
      </c>
      <c r="I100" t="s">
        <v>470</v>
      </c>
      <c r="J100" t="s">
        <v>471</v>
      </c>
      <c r="K100" t="s">
        <v>472</v>
      </c>
      <c r="L100">
        <v>1368</v>
      </c>
      <c r="N100">
        <v>1011</v>
      </c>
      <c r="O100" t="s">
        <v>455</v>
      </c>
      <c r="P100" t="s">
        <v>455</v>
      </c>
      <c r="Q100">
        <v>1</v>
      </c>
      <c r="X100">
        <v>0.03</v>
      </c>
      <c r="Y100">
        <v>0</v>
      </c>
      <c r="Z100">
        <v>1490.46</v>
      </c>
      <c r="AA100">
        <v>808.44</v>
      </c>
      <c r="AB100">
        <v>0</v>
      </c>
      <c r="AC100">
        <v>0</v>
      </c>
      <c r="AD100">
        <v>1</v>
      </c>
      <c r="AE100">
        <v>0</v>
      </c>
      <c r="AF100" t="s">
        <v>52</v>
      </c>
      <c r="AG100">
        <v>0.06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ROW(Source!A215)</f>
        <v>215</v>
      </c>
      <c r="B101">
        <v>1407492652</v>
      </c>
      <c r="C101">
        <v>1407492643</v>
      </c>
      <c r="D101">
        <v>1364552913</v>
      </c>
      <c r="E101">
        <v>1</v>
      </c>
      <c r="F101">
        <v>1</v>
      </c>
      <c r="G101">
        <v>39</v>
      </c>
      <c r="H101">
        <v>3</v>
      </c>
      <c r="I101" t="s">
        <v>463</v>
      </c>
      <c r="J101" t="s">
        <v>464</v>
      </c>
      <c r="K101" t="s">
        <v>465</v>
      </c>
      <c r="L101">
        <v>1346</v>
      </c>
      <c r="N101">
        <v>1009</v>
      </c>
      <c r="O101" t="s">
        <v>466</v>
      </c>
      <c r="P101" t="s">
        <v>466</v>
      </c>
      <c r="Q101">
        <v>1</v>
      </c>
      <c r="X101">
        <v>3.0000000000000001E-3</v>
      </c>
      <c r="Y101">
        <v>26.09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52</v>
      </c>
      <c r="AG101">
        <v>6.0000000000000001E-3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ROW(Source!A216)</f>
        <v>216</v>
      </c>
      <c r="B102">
        <v>1407492656</v>
      </c>
      <c r="C102">
        <v>1407492653</v>
      </c>
      <c r="D102">
        <v>1364549319</v>
      </c>
      <c r="E102">
        <v>39</v>
      </c>
      <c r="F102">
        <v>1</v>
      </c>
      <c r="G102">
        <v>39</v>
      </c>
      <c r="H102">
        <v>1</v>
      </c>
      <c r="I102" t="s">
        <v>449</v>
      </c>
      <c r="J102" t="s">
        <v>3</v>
      </c>
      <c r="K102" t="s">
        <v>450</v>
      </c>
      <c r="L102">
        <v>1191</v>
      </c>
      <c r="N102">
        <v>1013</v>
      </c>
      <c r="O102" t="s">
        <v>451</v>
      </c>
      <c r="P102" t="s">
        <v>451</v>
      </c>
      <c r="Q102">
        <v>1</v>
      </c>
      <c r="X102">
        <v>0.08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201</v>
      </c>
      <c r="AG102">
        <v>9.44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ROW(Source!A217)</f>
        <v>217</v>
      </c>
      <c r="B103">
        <v>1407492660</v>
      </c>
      <c r="C103">
        <v>1407492657</v>
      </c>
      <c r="D103">
        <v>1364549319</v>
      </c>
      <c r="E103">
        <v>39</v>
      </c>
      <c r="F103">
        <v>1</v>
      </c>
      <c r="G103">
        <v>39</v>
      </c>
      <c r="H103">
        <v>1</v>
      </c>
      <c r="I103" t="s">
        <v>449</v>
      </c>
      <c r="J103" t="s">
        <v>3</v>
      </c>
      <c r="K103" t="s">
        <v>450</v>
      </c>
      <c r="L103">
        <v>1191</v>
      </c>
      <c r="N103">
        <v>1013</v>
      </c>
      <c r="O103" t="s">
        <v>451</v>
      </c>
      <c r="P103" t="s">
        <v>451</v>
      </c>
      <c r="Q103">
        <v>1</v>
      </c>
      <c r="X103">
        <v>0.24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20</v>
      </c>
      <c r="AG103">
        <v>0.96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ROW(Source!A218)</f>
        <v>218</v>
      </c>
      <c r="B104">
        <v>1407492670</v>
      </c>
      <c r="C104">
        <v>1407492661</v>
      </c>
      <c r="D104">
        <v>1364549319</v>
      </c>
      <c r="E104">
        <v>39</v>
      </c>
      <c r="F104">
        <v>1</v>
      </c>
      <c r="G104">
        <v>39</v>
      </c>
      <c r="H104">
        <v>1</v>
      </c>
      <c r="I104" t="s">
        <v>449</v>
      </c>
      <c r="J104" t="s">
        <v>3</v>
      </c>
      <c r="K104" t="s">
        <v>450</v>
      </c>
      <c r="L104">
        <v>1191</v>
      </c>
      <c r="N104">
        <v>1013</v>
      </c>
      <c r="O104" t="s">
        <v>451</v>
      </c>
      <c r="P104" t="s">
        <v>451</v>
      </c>
      <c r="Q104">
        <v>1</v>
      </c>
      <c r="X104">
        <v>1.96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1.96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ROW(Source!A218)</f>
        <v>218</v>
      </c>
      <c r="B105">
        <v>1407492671</v>
      </c>
      <c r="C105">
        <v>1407492661</v>
      </c>
      <c r="D105">
        <v>1364550977</v>
      </c>
      <c r="E105">
        <v>1</v>
      </c>
      <c r="F105">
        <v>1</v>
      </c>
      <c r="G105">
        <v>39</v>
      </c>
      <c r="H105">
        <v>2</v>
      </c>
      <c r="I105" t="s">
        <v>467</v>
      </c>
      <c r="J105" t="s">
        <v>468</v>
      </c>
      <c r="K105" t="s">
        <v>469</v>
      </c>
      <c r="L105">
        <v>1368</v>
      </c>
      <c r="N105">
        <v>1011</v>
      </c>
      <c r="O105" t="s">
        <v>455</v>
      </c>
      <c r="P105" t="s">
        <v>455</v>
      </c>
      <c r="Q105">
        <v>1</v>
      </c>
      <c r="X105">
        <v>0.12</v>
      </c>
      <c r="Y105">
        <v>0</v>
      </c>
      <c r="Z105">
        <v>7.09</v>
      </c>
      <c r="AA105">
        <v>0.01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0.12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ROW(Source!A218)</f>
        <v>218</v>
      </c>
      <c r="B106">
        <v>1407492672</v>
      </c>
      <c r="C106">
        <v>1407492661</v>
      </c>
      <c r="D106">
        <v>1364552913</v>
      </c>
      <c r="E106">
        <v>1</v>
      </c>
      <c r="F106">
        <v>1</v>
      </c>
      <c r="G106">
        <v>39</v>
      </c>
      <c r="H106">
        <v>3</v>
      </c>
      <c r="I106" t="s">
        <v>463</v>
      </c>
      <c r="J106" t="s">
        <v>464</v>
      </c>
      <c r="K106" t="s">
        <v>465</v>
      </c>
      <c r="L106">
        <v>1346</v>
      </c>
      <c r="N106">
        <v>1009</v>
      </c>
      <c r="O106" t="s">
        <v>466</v>
      </c>
      <c r="P106" t="s">
        <v>466</v>
      </c>
      <c r="Q106">
        <v>1</v>
      </c>
      <c r="X106">
        <v>0.2</v>
      </c>
      <c r="Y106">
        <v>26.09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0.2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ROW(Source!A218)</f>
        <v>218</v>
      </c>
      <c r="B107">
        <v>1407492673</v>
      </c>
      <c r="C107">
        <v>1407492661</v>
      </c>
      <c r="D107">
        <v>1364554007</v>
      </c>
      <c r="E107">
        <v>1</v>
      </c>
      <c r="F107">
        <v>1</v>
      </c>
      <c r="G107">
        <v>39</v>
      </c>
      <c r="H107">
        <v>3</v>
      </c>
      <c r="I107" t="s">
        <v>525</v>
      </c>
      <c r="J107" t="s">
        <v>526</v>
      </c>
      <c r="K107" t="s">
        <v>527</v>
      </c>
      <c r="L107">
        <v>1296</v>
      </c>
      <c r="N107">
        <v>1002</v>
      </c>
      <c r="O107" t="s">
        <v>480</v>
      </c>
      <c r="P107" t="s">
        <v>480</v>
      </c>
      <c r="Q107">
        <v>1</v>
      </c>
      <c r="X107">
        <v>0.1</v>
      </c>
      <c r="Y107">
        <v>153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0.1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ROW(Source!A219)</f>
        <v>219</v>
      </c>
      <c r="B108">
        <v>1407492685</v>
      </c>
      <c r="C108">
        <v>1407492674</v>
      </c>
      <c r="D108">
        <v>1364549319</v>
      </c>
      <c r="E108">
        <v>39</v>
      </c>
      <c r="F108">
        <v>1</v>
      </c>
      <c r="G108">
        <v>39</v>
      </c>
      <c r="H108">
        <v>1</v>
      </c>
      <c r="I108" t="s">
        <v>449</v>
      </c>
      <c r="J108" t="s">
        <v>3</v>
      </c>
      <c r="K108" t="s">
        <v>450</v>
      </c>
      <c r="L108">
        <v>1191</v>
      </c>
      <c r="N108">
        <v>1013</v>
      </c>
      <c r="O108" t="s">
        <v>451</v>
      </c>
      <c r="P108" t="s">
        <v>451</v>
      </c>
      <c r="Q108">
        <v>1</v>
      </c>
      <c r="X108">
        <v>2.2599999999999998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2.2599999999999998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ROW(Source!A219)</f>
        <v>219</v>
      </c>
      <c r="B109">
        <v>1407492686</v>
      </c>
      <c r="C109">
        <v>1407492674</v>
      </c>
      <c r="D109">
        <v>1364550977</v>
      </c>
      <c r="E109">
        <v>1</v>
      </c>
      <c r="F109">
        <v>1</v>
      </c>
      <c r="G109">
        <v>39</v>
      </c>
      <c r="H109">
        <v>2</v>
      </c>
      <c r="I109" t="s">
        <v>467</v>
      </c>
      <c r="J109" t="s">
        <v>468</v>
      </c>
      <c r="K109" t="s">
        <v>469</v>
      </c>
      <c r="L109">
        <v>1368</v>
      </c>
      <c r="N109">
        <v>1011</v>
      </c>
      <c r="O109" t="s">
        <v>455</v>
      </c>
      <c r="P109" t="s">
        <v>455</v>
      </c>
      <c r="Q109">
        <v>1</v>
      </c>
      <c r="X109">
        <v>0.12</v>
      </c>
      <c r="Y109">
        <v>0</v>
      </c>
      <c r="Z109">
        <v>7.09</v>
      </c>
      <c r="AA109">
        <v>0.01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0.12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ROW(Source!A219)</f>
        <v>219</v>
      </c>
      <c r="B110">
        <v>1407492687</v>
      </c>
      <c r="C110">
        <v>1407492674</v>
      </c>
      <c r="D110">
        <v>1364552913</v>
      </c>
      <c r="E110">
        <v>1</v>
      </c>
      <c r="F110">
        <v>1</v>
      </c>
      <c r="G110">
        <v>39</v>
      </c>
      <c r="H110">
        <v>3</v>
      </c>
      <c r="I110" t="s">
        <v>463</v>
      </c>
      <c r="J110" t="s">
        <v>464</v>
      </c>
      <c r="K110" t="s">
        <v>465</v>
      </c>
      <c r="L110">
        <v>1346</v>
      </c>
      <c r="N110">
        <v>1009</v>
      </c>
      <c r="O110" t="s">
        <v>466</v>
      </c>
      <c r="P110" t="s">
        <v>466</v>
      </c>
      <c r="Q110">
        <v>1</v>
      </c>
      <c r="X110">
        <v>0.2</v>
      </c>
      <c r="Y110">
        <v>26.09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ROW(Source!A219)</f>
        <v>219</v>
      </c>
      <c r="B111">
        <v>1407492688</v>
      </c>
      <c r="C111">
        <v>1407492674</v>
      </c>
      <c r="D111">
        <v>1364554007</v>
      </c>
      <c r="E111">
        <v>1</v>
      </c>
      <c r="F111">
        <v>1</v>
      </c>
      <c r="G111">
        <v>39</v>
      </c>
      <c r="H111">
        <v>3</v>
      </c>
      <c r="I111" t="s">
        <v>525</v>
      </c>
      <c r="J111" t="s">
        <v>526</v>
      </c>
      <c r="K111" t="s">
        <v>527</v>
      </c>
      <c r="L111">
        <v>1296</v>
      </c>
      <c r="N111">
        <v>1002</v>
      </c>
      <c r="O111" t="s">
        <v>480</v>
      </c>
      <c r="P111" t="s">
        <v>480</v>
      </c>
      <c r="Q111">
        <v>1</v>
      </c>
      <c r="X111">
        <v>0.1</v>
      </c>
      <c r="Y111">
        <v>153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0.1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ROW(Source!A219)</f>
        <v>219</v>
      </c>
      <c r="B112">
        <v>1407492689</v>
      </c>
      <c r="C112">
        <v>1407492674</v>
      </c>
      <c r="D112">
        <v>1364561847</v>
      </c>
      <c r="E112">
        <v>1</v>
      </c>
      <c r="F112">
        <v>1</v>
      </c>
      <c r="G112">
        <v>39</v>
      </c>
      <c r="H112">
        <v>3</v>
      </c>
      <c r="I112" t="s">
        <v>528</v>
      </c>
      <c r="J112" t="s">
        <v>529</v>
      </c>
      <c r="K112" t="s">
        <v>530</v>
      </c>
      <c r="L112">
        <v>1327</v>
      </c>
      <c r="N112">
        <v>1005</v>
      </c>
      <c r="O112" t="s">
        <v>531</v>
      </c>
      <c r="P112" t="s">
        <v>531</v>
      </c>
      <c r="Q112">
        <v>1</v>
      </c>
      <c r="X112">
        <v>4.4999999999999998E-2</v>
      </c>
      <c r="Y112">
        <v>107.1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4.4999999999999998E-2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ROW(Source!A220)</f>
        <v>220</v>
      </c>
      <c r="B113">
        <v>1407492697</v>
      </c>
      <c r="C113">
        <v>1407492690</v>
      </c>
      <c r="D113">
        <v>1364549319</v>
      </c>
      <c r="E113">
        <v>39</v>
      </c>
      <c r="F113">
        <v>1</v>
      </c>
      <c r="G113">
        <v>39</v>
      </c>
      <c r="H113">
        <v>1</v>
      </c>
      <c r="I113" t="s">
        <v>449</v>
      </c>
      <c r="J113" t="s">
        <v>3</v>
      </c>
      <c r="K113" t="s">
        <v>450</v>
      </c>
      <c r="L113">
        <v>1191</v>
      </c>
      <c r="N113">
        <v>1013</v>
      </c>
      <c r="O113" t="s">
        <v>451</v>
      </c>
      <c r="P113" t="s">
        <v>451</v>
      </c>
      <c r="Q113">
        <v>1</v>
      </c>
      <c r="X113">
        <v>1.68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</v>
      </c>
      <c r="AG113">
        <v>1.68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ROW(Source!A220)</f>
        <v>220</v>
      </c>
      <c r="B114">
        <v>1407492698</v>
      </c>
      <c r="C114">
        <v>1407492690</v>
      </c>
      <c r="D114">
        <v>1364551021</v>
      </c>
      <c r="E114">
        <v>1</v>
      </c>
      <c r="F114">
        <v>1</v>
      </c>
      <c r="G114">
        <v>39</v>
      </c>
      <c r="H114">
        <v>2</v>
      </c>
      <c r="I114" t="s">
        <v>470</v>
      </c>
      <c r="J114" t="s">
        <v>471</v>
      </c>
      <c r="K114" t="s">
        <v>472</v>
      </c>
      <c r="L114">
        <v>1368</v>
      </c>
      <c r="N114">
        <v>1011</v>
      </c>
      <c r="O114" t="s">
        <v>455</v>
      </c>
      <c r="P114" t="s">
        <v>455</v>
      </c>
      <c r="Q114">
        <v>1</v>
      </c>
      <c r="X114">
        <v>0.09</v>
      </c>
      <c r="Y114">
        <v>0</v>
      </c>
      <c r="Z114">
        <v>1490.46</v>
      </c>
      <c r="AA114">
        <v>808.44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0.09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ROW(Source!A220)</f>
        <v>220</v>
      </c>
      <c r="B115">
        <v>1407492699</v>
      </c>
      <c r="C115">
        <v>1407492690</v>
      </c>
      <c r="D115">
        <v>1364552913</v>
      </c>
      <c r="E115">
        <v>1</v>
      </c>
      <c r="F115">
        <v>1</v>
      </c>
      <c r="G115">
        <v>39</v>
      </c>
      <c r="H115">
        <v>3</v>
      </c>
      <c r="I115" t="s">
        <v>463</v>
      </c>
      <c r="J115" t="s">
        <v>464</v>
      </c>
      <c r="K115" t="s">
        <v>465</v>
      </c>
      <c r="L115">
        <v>1346</v>
      </c>
      <c r="N115">
        <v>1009</v>
      </c>
      <c r="O115" t="s">
        <v>466</v>
      </c>
      <c r="P115" t="s">
        <v>466</v>
      </c>
      <c r="Q115">
        <v>1</v>
      </c>
      <c r="X115">
        <v>0.02</v>
      </c>
      <c r="Y115">
        <v>26.09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0.02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ROW(Source!A221)</f>
        <v>221</v>
      </c>
      <c r="B116">
        <v>1407492705</v>
      </c>
      <c r="C116">
        <v>1407492700</v>
      </c>
      <c r="D116">
        <v>1364549319</v>
      </c>
      <c r="E116">
        <v>39</v>
      </c>
      <c r="F116">
        <v>1</v>
      </c>
      <c r="G116">
        <v>39</v>
      </c>
      <c r="H116">
        <v>1</v>
      </c>
      <c r="I116" t="s">
        <v>449</v>
      </c>
      <c r="J116" t="s">
        <v>3</v>
      </c>
      <c r="K116" t="s">
        <v>450</v>
      </c>
      <c r="L116">
        <v>1191</v>
      </c>
      <c r="N116">
        <v>1013</v>
      </c>
      <c r="O116" t="s">
        <v>451</v>
      </c>
      <c r="P116" t="s">
        <v>451</v>
      </c>
      <c r="Q116">
        <v>1</v>
      </c>
      <c r="X116">
        <v>0.23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20</v>
      </c>
      <c r="AG116">
        <v>0.92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ROW(Source!A221)</f>
        <v>221</v>
      </c>
      <c r="B117">
        <v>1407492706</v>
      </c>
      <c r="C117">
        <v>1407492700</v>
      </c>
      <c r="D117">
        <v>1364552913</v>
      </c>
      <c r="E117">
        <v>1</v>
      </c>
      <c r="F117">
        <v>1</v>
      </c>
      <c r="G117">
        <v>39</v>
      </c>
      <c r="H117">
        <v>3</v>
      </c>
      <c r="I117" t="s">
        <v>463</v>
      </c>
      <c r="J117" t="s">
        <v>464</v>
      </c>
      <c r="K117" t="s">
        <v>465</v>
      </c>
      <c r="L117">
        <v>1346</v>
      </c>
      <c r="N117">
        <v>1009</v>
      </c>
      <c r="O117" t="s">
        <v>466</v>
      </c>
      <c r="P117" t="s">
        <v>466</v>
      </c>
      <c r="Q117">
        <v>1</v>
      </c>
      <c r="X117">
        <v>0.05</v>
      </c>
      <c r="Y117">
        <v>26.09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20</v>
      </c>
      <c r="AG117">
        <v>0.2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ROW(Source!A222)</f>
        <v>222</v>
      </c>
      <c r="B118">
        <v>1407492710</v>
      </c>
      <c r="C118">
        <v>1407492707</v>
      </c>
      <c r="D118">
        <v>1364549319</v>
      </c>
      <c r="E118">
        <v>39</v>
      </c>
      <c r="F118">
        <v>1</v>
      </c>
      <c r="G118">
        <v>39</v>
      </c>
      <c r="H118">
        <v>1</v>
      </c>
      <c r="I118" t="s">
        <v>449</v>
      </c>
      <c r="J118" t="s">
        <v>3</v>
      </c>
      <c r="K118" t="s">
        <v>450</v>
      </c>
      <c r="L118">
        <v>1191</v>
      </c>
      <c r="N118">
        <v>1013</v>
      </c>
      <c r="O118" t="s">
        <v>451</v>
      </c>
      <c r="P118" t="s">
        <v>451</v>
      </c>
      <c r="Q118">
        <v>1</v>
      </c>
      <c r="X118">
        <v>7.0000000000000007E-2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201</v>
      </c>
      <c r="AG118">
        <v>8.2600000000000016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ROW(Source!A223)</f>
        <v>223</v>
      </c>
      <c r="B119">
        <v>1407492718</v>
      </c>
      <c r="C119">
        <v>1407492711</v>
      </c>
      <c r="D119">
        <v>1364549319</v>
      </c>
      <c r="E119">
        <v>39</v>
      </c>
      <c r="F119">
        <v>1</v>
      </c>
      <c r="G119">
        <v>39</v>
      </c>
      <c r="H119">
        <v>1</v>
      </c>
      <c r="I119" t="s">
        <v>449</v>
      </c>
      <c r="J119" t="s">
        <v>3</v>
      </c>
      <c r="K119" t="s">
        <v>450</v>
      </c>
      <c r="L119">
        <v>1191</v>
      </c>
      <c r="N119">
        <v>1013</v>
      </c>
      <c r="O119" t="s">
        <v>451</v>
      </c>
      <c r="P119" t="s">
        <v>451</v>
      </c>
      <c r="Q119">
        <v>1</v>
      </c>
      <c r="X119">
        <v>45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20</v>
      </c>
      <c r="AG119">
        <v>180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ROW(Source!A223)</f>
        <v>223</v>
      </c>
      <c r="B120">
        <v>1407492719</v>
      </c>
      <c r="C120">
        <v>1407492711</v>
      </c>
      <c r="D120">
        <v>1364551021</v>
      </c>
      <c r="E120">
        <v>1</v>
      </c>
      <c r="F120">
        <v>1</v>
      </c>
      <c r="G120">
        <v>39</v>
      </c>
      <c r="H120">
        <v>2</v>
      </c>
      <c r="I120" t="s">
        <v>470</v>
      </c>
      <c r="J120" t="s">
        <v>471</v>
      </c>
      <c r="K120" t="s">
        <v>472</v>
      </c>
      <c r="L120">
        <v>1368</v>
      </c>
      <c r="N120">
        <v>1011</v>
      </c>
      <c r="O120" t="s">
        <v>455</v>
      </c>
      <c r="P120" t="s">
        <v>455</v>
      </c>
      <c r="Q120">
        <v>1</v>
      </c>
      <c r="X120">
        <v>3</v>
      </c>
      <c r="Y120">
        <v>0</v>
      </c>
      <c r="Z120">
        <v>1490.46</v>
      </c>
      <c r="AA120">
        <v>808.44</v>
      </c>
      <c r="AB120">
        <v>0</v>
      </c>
      <c r="AC120">
        <v>0</v>
      </c>
      <c r="AD120">
        <v>1</v>
      </c>
      <c r="AE120">
        <v>0</v>
      </c>
      <c r="AF120" t="s">
        <v>20</v>
      </c>
      <c r="AG120">
        <v>12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ROW(Source!A223)</f>
        <v>223</v>
      </c>
      <c r="B121">
        <v>1407492720</v>
      </c>
      <c r="C121">
        <v>1407492711</v>
      </c>
      <c r="D121">
        <v>1364552913</v>
      </c>
      <c r="E121">
        <v>1</v>
      </c>
      <c r="F121">
        <v>1</v>
      </c>
      <c r="G121">
        <v>39</v>
      </c>
      <c r="H121">
        <v>3</v>
      </c>
      <c r="I121" t="s">
        <v>463</v>
      </c>
      <c r="J121" t="s">
        <v>464</v>
      </c>
      <c r="K121" t="s">
        <v>465</v>
      </c>
      <c r="L121">
        <v>1346</v>
      </c>
      <c r="N121">
        <v>1009</v>
      </c>
      <c r="O121" t="s">
        <v>466</v>
      </c>
      <c r="P121" t="s">
        <v>466</v>
      </c>
      <c r="Q121">
        <v>1</v>
      </c>
      <c r="X121">
        <v>0.3</v>
      </c>
      <c r="Y121">
        <v>26.09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20</v>
      </c>
      <c r="AG121">
        <v>1.2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ROW(Source!A224)</f>
        <v>224</v>
      </c>
      <c r="B122">
        <v>1407492728</v>
      </c>
      <c r="C122">
        <v>1407492721</v>
      </c>
      <c r="D122">
        <v>1364549319</v>
      </c>
      <c r="E122">
        <v>39</v>
      </c>
      <c r="F122">
        <v>1</v>
      </c>
      <c r="G122">
        <v>39</v>
      </c>
      <c r="H122">
        <v>1</v>
      </c>
      <c r="I122" t="s">
        <v>449</v>
      </c>
      <c r="J122" t="s">
        <v>3</v>
      </c>
      <c r="K122" t="s">
        <v>450</v>
      </c>
      <c r="L122">
        <v>1191</v>
      </c>
      <c r="N122">
        <v>1013</v>
      </c>
      <c r="O122" t="s">
        <v>451</v>
      </c>
      <c r="P122" t="s">
        <v>451</v>
      </c>
      <c r="Q122">
        <v>1</v>
      </c>
      <c r="X122">
        <v>35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20</v>
      </c>
      <c r="AG122">
        <v>140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ROW(Source!A224)</f>
        <v>224</v>
      </c>
      <c r="B123">
        <v>1407492729</v>
      </c>
      <c r="C123">
        <v>1407492721</v>
      </c>
      <c r="D123">
        <v>1364551021</v>
      </c>
      <c r="E123">
        <v>1</v>
      </c>
      <c r="F123">
        <v>1</v>
      </c>
      <c r="G123">
        <v>39</v>
      </c>
      <c r="H123">
        <v>2</v>
      </c>
      <c r="I123" t="s">
        <v>470</v>
      </c>
      <c r="J123" t="s">
        <v>471</v>
      </c>
      <c r="K123" t="s">
        <v>472</v>
      </c>
      <c r="L123">
        <v>1368</v>
      </c>
      <c r="N123">
        <v>1011</v>
      </c>
      <c r="O123" t="s">
        <v>455</v>
      </c>
      <c r="P123" t="s">
        <v>455</v>
      </c>
      <c r="Q123">
        <v>1</v>
      </c>
      <c r="X123">
        <v>2</v>
      </c>
      <c r="Y123">
        <v>0</v>
      </c>
      <c r="Z123">
        <v>1490.46</v>
      </c>
      <c r="AA123">
        <v>808.44</v>
      </c>
      <c r="AB123">
        <v>0</v>
      </c>
      <c r="AC123">
        <v>0</v>
      </c>
      <c r="AD123">
        <v>1</v>
      </c>
      <c r="AE123">
        <v>0</v>
      </c>
      <c r="AF123" t="s">
        <v>20</v>
      </c>
      <c r="AG123">
        <v>8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ROW(Source!A224)</f>
        <v>224</v>
      </c>
      <c r="B124">
        <v>1407492730</v>
      </c>
      <c r="C124">
        <v>1407492721</v>
      </c>
      <c r="D124">
        <v>1364552913</v>
      </c>
      <c r="E124">
        <v>1</v>
      </c>
      <c r="F124">
        <v>1</v>
      </c>
      <c r="G124">
        <v>39</v>
      </c>
      <c r="H124">
        <v>3</v>
      </c>
      <c r="I124" t="s">
        <v>463</v>
      </c>
      <c r="J124" t="s">
        <v>464</v>
      </c>
      <c r="K124" t="s">
        <v>465</v>
      </c>
      <c r="L124">
        <v>1346</v>
      </c>
      <c r="N124">
        <v>1009</v>
      </c>
      <c r="O124" t="s">
        <v>466</v>
      </c>
      <c r="P124" t="s">
        <v>466</v>
      </c>
      <c r="Q124">
        <v>1</v>
      </c>
      <c r="X124">
        <v>0.2</v>
      </c>
      <c r="Y124">
        <v>26.09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20</v>
      </c>
      <c r="AG124">
        <v>0.8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ROW(Source!A225)</f>
        <v>225</v>
      </c>
      <c r="B125">
        <v>1407492734</v>
      </c>
      <c r="C125">
        <v>1407492731</v>
      </c>
      <c r="D125">
        <v>1364549319</v>
      </c>
      <c r="E125">
        <v>39</v>
      </c>
      <c r="F125">
        <v>1</v>
      </c>
      <c r="G125">
        <v>39</v>
      </c>
      <c r="H125">
        <v>1</v>
      </c>
      <c r="I125" t="s">
        <v>449</v>
      </c>
      <c r="J125" t="s">
        <v>3</v>
      </c>
      <c r="K125" t="s">
        <v>450</v>
      </c>
      <c r="L125">
        <v>1191</v>
      </c>
      <c r="N125">
        <v>1013</v>
      </c>
      <c r="O125" t="s">
        <v>451</v>
      </c>
      <c r="P125" t="s">
        <v>451</v>
      </c>
      <c r="Q125">
        <v>1</v>
      </c>
      <c r="X125">
        <v>0.31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20</v>
      </c>
      <c r="AG125">
        <v>1.24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ROW(Source!A226)</f>
        <v>226</v>
      </c>
      <c r="B126">
        <v>1407492742</v>
      </c>
      <c r="C126">
        <v>1407492735</v>
      </c>
      <c r="D126">
        <v>1364549319</v>
      </c>
      <c r="E126">
        <v>39</v>
      </c>
      <c r="F126">
        <v>1</v>
      </c>
      <c r="G126">
        <v>39</v>
      </c>
      <c r="H126">
        <v>1</v>
      </c>
      <c r="I126" t="s">
        <v>449</v>
      </c>
      <c r="J126" t="s">
        <v>3</v>
      </c>
      <c r="K126" t="s">
        <v>450</v>
      </c>
      <c r="L126">
        <v>1191</v>
      </c>
      <c r="N126">
        <v>1013</v>
      </c>
      <c r="O126" t="s">
        <v>451</v>
      </c>
      <c r="P126" t="s">
        <v>451</v>
      </c>
      <c r="Q126">
        <v>1</v>
      </c>
      <c r="X126">
        <v>0.43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3</v>
      </c>
      <c r="AG126">
        <v>0.43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ROW(Source!A226)</f>
        <v>226</v>
      </c>
      <c r="B127">
        <v>1407492743</v>
      </c>
      <c r="C127">
        <v>1407492735</v>
      </c>
      <c r="D127">
        <v>1364552913</v>
      </c>
      <c r="E127">
        <v>1</v>
      </c>
      <c r="F127">
        <v>1</v>
      </c>
      <c r="G127">
        <v>39</v>
      </c>
      <c r="H127">
        <v>3</v>
      </c>
      <c r="I127" t="s">
        <v>463</v>
      </c>
      <c r="J127" t="s">
        <v>464</v>
      </c>
      <c r="K127" t="s">
        <v>465</v>
      </c>
      <c r="L127">
        <v>1346</v>
      </c>
      <c r="N127">
        <v>1009</v>
      </c>
      <c r="O127" t="s">
        <v>466</v>
      </c>
      <c r="P127" t="s">
        <v>466</v>
      </c>
      <c r="Q127">
        <v>1</v>
      </c>
      <c r="X127">
        <v>5.0000000000000001E-4</v>
      </c>
      <c r="Y127">
        <v>26.09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5.0000000000000001E-4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ROW(Source!A226)</f>
        <v>226</v>
      </c>
      <c r="B128">
        <v>1407492744</v>
      </c>
      <c r="C128">
        <v>1407492735</v>
      </c>
      <c r="D128">
        <v>1364553474</v>
      </c>
      <c r="E128">
        <v>1</v>
      </c>
      <c r="F128">
        <v>1</v>
      </c>
      <c r="G128">
        <v>39</v>
      </c>
      <c r="H128">
        <v>3</v>
      </c>
      <c r="I128" t="s">
        <v>532</v>
      </c>
      <c r="J128" t="s">
        <v>533</v>
      </c>
      <c r="K128" t="s">
        <v>534</v>
      </c>
      <c r="L128">
        <v>1327</v>
      </c>
      <c r="N128">
        <v>1005</v>
      </c>
      <c r="O128" t="s">
        <v>531</v>
      </c>
      <c r="P128" t="s">
        <v>531</v>
      </c>
      <c r="Q128">
        <v>1</v>
      </c>
      <c r="X128">
        <v>3.5999999999999999E-3</v>
      </c>
      <c r="Y128">
        <v>482.2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3.5999999999999999E-3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ROW(Source!A227)</f>
        <v>227</v>
      </c>
      <c r="B129">
        <v>1407492752</v>
      </c>
      <c r="C129">
        <v>1407492745</v>
      </c>
      <c r="D129">
        <v>1364549319</v>
      </c>
      <c r="E129">
        <v>39</v>
      </c>
      <c r="F129">
        <v>1</v>
      </c>
      <c r="G129">
        <v>39</v>
      </c>
      <c r="H129">
        <v>1</v>
      </c>
      <c r="I129" t="s">
        <v>449</v>
      </c>
      <c r="J129" t="s">
        <v>3</v>
      </c>
      <c r="K129" t="s">
        <v>450</v>
      </c>
      <c r="L129">
        <v>1191</v>
      </c>
      <c r="N129">
        <v>1013</v>
      </c>
      <c r="O129" t="s">
        <v>451</v>
      </c>
      <c r="P129" t="s">
        <v>451</v>
      </c>
      <c r="Q129">
        <v>1</v>
      </c>
      <c r="X129">
        <v>6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20</v>
      </c>
      <c r="AG129">
        <v>24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ROW(Source!A227)</f>
        <v>227</v>
      </c>
      <c r="B130">
        <v>1407492753</v>
      </c>
      <c r="C130">
        <v>1407492745</v>
      </c>
      <c r="D130">
        <v>1364551021</v>
      </c>
      <c r="E130">
        <v>1</v>
      </c>
      <c r="F130">
        <v>1</v>
      </c>
      <c r="G130">
        <v>39</v>
      </c>
      <c r="H130">
        <v>2</v>
      </c>
      <c r="I130" t="s">
        <v>470</v>
      </c>
      <c r="J130" t="s">
        <v>471</v>
      </c>
      <c r="K130" t="s">
        <v>472</v>
      </c>
      <c r="L130">
        <v>1368</v>
      </c>
      <c r="N130">
        <v>1011</v>
      </c>
      <c r="O130" t="s">
        <v>455</v>
      </c>
      <c r="P130" t="s">
        <v>455</v>
      </c>
      <c r="Q130">
        <v>1</v>
      </c>
      <c r="X130">
        <v>0.7</v>
      </c>
      <c r="Y130">
        <v>0</v>
      </c>
      <c r="Z130">
        <v>1490.46</v>
      </c>
      <c r="AA130">
        <v>808.44</v>
      </c>
      <c r="AB130">
        <v>0</v>
      </c>
      <c r="AC130">
        <v>0</v>
      </c>
      <c r="AD130">
        <v>1</v>
      </c>
      <c r="AE130">
        <v>0</v>
      </c>
      <c r="AF130" t="s">
        <v>20</v>
      </c>
      <c r="AG130">
        <v>2.8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ROW(Source!A227)</f>
        <v>227</v>
      </c>
      <c r="B131">
        <v>1407492754</v>
      </c>
      <c r="C131">
        <v>1407492745</v>
      </c>
      <c r="D131">
        <v>1364552913</v>
      </c>
      <c r="E131">
        <v>1</v>
      </c>
      <c r="F131">
        <v>1</v>
      </c>
      <c r="G131">
        <v>39</v>
      </c>
      <c r="H131">
        <v>3</v>
      </c>
      <c r="I131" t="s">
        <v>463</v>
      </c>
      <c r="J131" t="s">
        <v>464</v>
      </c>
      <c r="K131" t="s">
        <v>465</v>
      </c>
      <c r="L131">
        <v>1346</v>
      </c>
      <c r="N131">
        <v>1009</v>
      </c>
      <c r="O131" t="s">
        <v>466</v>
      </c>
      <c r="P131" t="s">
        <v>466</v>
      </c>
      <c r="Q131">
        <v>1</v>
      </c>
      <c r="X131">
        <v>0.03</v>
      </c>
      <c r="Y131">
        <v>26.09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20</v>
      </c>
      <c r="AG131">
        <v>0.12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ROW(Source!A228)</f>
        <v>228</v>
      </c>
      <c r="B132">
        <v>1407492760</v>
      </c>
      <c r="C132">
        <v>1407492755</v>
      </c>
      <c r="D132">
        <v>1364549319</v>
      </c>
      <c r="E132">
        <v>39</v>
      </c>
      <c r="F132">
        <v>1</v>
      </c>
      <c r="G132">
        <v>39</v>
      </c>
      <c r="H132">
        <v>1</v>
      </c>
      <c r="I132" t="s">
        <v>449</v>
      </c>
      <c r="J132" t="s">
        <v>3</v>
      </c>
      <c r="K132" t="s">
        <v>450</v>
      </c>
      <c r="L132">
        <v>1191</v>
      </c>
      <c r="N132">
        <v>1013</v>
      </c>
      <c r="O132" t="s">
        <v>451</v>
      </c>
      <c r="P132" t="s">
        <v>451</v>
      </c>
      <c r="Q132">
        <v>1</v>
      </c>
      <c r="X132">
        <v>10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3</v>
      </c>
      <c r="AG132">
        <v>10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ROW(Source!A228)</f>
        <v>228</v>
      </c>
      <c r="B133">
        <v>1407492761</v>
      </c>
      <c r="C133">
        <v>1407492755</v>
      </c>
      <c r="D133">
        <v>1364552915</v>
      </c>
      <c r="E133">
        <v>1</v>
      </c>
      <c r="F133">
        <v>1</v>
      </c>
      <c r="G133">
        <v>39</v>
      </c>
      <c r="H133">
        <v>3</v>
      </c>
      <c r="I133" t="s">
        <v>522</v>
      </c>
      <c r="J133" t="s">
        <v>523</v>
      </c>
      <c r="K133" t="s">
        <v>524</v>
      </c>
      <c r="L133">
        <v>1346</v>
      </c>
      <c r="N133">
        <v>1009</v>
      </c>
      <c r="O133" t="s">
        <v>466</v>
      </c>
      <c r="P133" t="s">
        <v>466</v>
      </c>
      <c r="Q133">
        <v>1</v>
      </c>
      <c r="X133">
        <v>0.06</v>
      </c>
      <c r="Y133">
        <v>350.97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0.06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ROW(Source!A229)</f>
        <v>229</v>
      </c>
      <c r="B134">
        <v>1407492765</v>
      </c>
      <c r="C134">
        <v>1407492762</v>
      </c>
      <c r="D134">
        <v>1364549319</v>
      </c>
      <c r="E134">
        <v>39</v>
      </c>
      <c r="F134">
        <v>1</v>
      </c>
      <c r="G134">
        <v>39</v>
      </c>
      <c r="H134">
        <v>1</v>
      </c>
      <c r="I134" t="s">
        <v>449</v>
      </c>
      <c r="J134" t="s">
        <v>3</v>
      </c>
      <c r="K134" t="s">
        <v>450</v>
      </c>
      <c r="L134">
        <v>1191</v>
      </c>
      <c r="N134">
        <v>1013</v>
      </c>
      <c r="O134" t="s">
        <v>451</v>
      </c>
      <c r="P134" t="s">
        <v>451</v>
      </c>
      <c r="Q134">
        <v>1</v>
      </c>
      <c r="X134">
        <v>0.24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3</v>
      </c>
      <c r="AG134">
        <v>0.24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ROW(Source!A265)</f>
        <v>265</v>
      </c>
      <c r="B135">
        <v>1407492779</v>
      </c>
      <c r="C135">
        <v>1407492766</v>
      </c>
      <c r="D135">
        <v>1364549319</v>
      </c>
      <c r="E135">
        <v>39</v>
      </c>
      <c r="F135">
        <v>1</v>
      </c>
      <c r="G135">
        <v>39</v>
      </c>
      <c r="H135">
        <v>1</v>
      </c>
      <c r="I135" t="s">
        <v>449</v>
      </c>
      <c r="J135" t="s">
        <v>3</v>
      </c>
      <c r="K135" t="s">
        <v>450</v>
      </c>
      <c r="L135">
        <v>1191</v>
      </c>
      <c r="N135">
        <v>1013</v>
      </c>
      <c r="O135" t="s">
        <v>451</v>
      </c>
      <c r="P135" t="s">
        <v>451</v>
      </c>
      <c r="Q135">
        <v>1</v>
      </c>
      <c r="X135">
        <v>17.5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290</v>
      </c>
      <c r="AG135">
        <v>5.833333333333333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ROW(Source!A265)</f>
        <v>265</v>
      </c>
      <c r="B136">
        <v>1407492780</v>
      </c>
      <c r="C136">
        <v>1407492766</v>
      </c>
      <c r="D136">
        <v>1364552184</v>
      </c>
      <c r="E136">
        <v>1</v>
      </c>
      <c r="F136">
        <v>1</v>
      </c>
      <c r="G136">
        <v>39</v>
      </c>
      <c r="H136">
        <v>3</v>
      </c>
      <c r="I136" t="s">
        <v>535</v>
      </c>
      <c r="J136" t="s">
        <v>536</v>
      </c>
      <c r="K136" t="s">
        <v>537</v>
      </c>
      <c r="L136">
        <v>1348</v>
      </c>
      <c r="N136">
        <v>1009</v>
      </c>
      <c r="O136" t="s">
        <v>487</v>
      </c>
      <c r="P136" t="s">
        <v>487</v>
      </c>
      <c r="Q136">
        <v>1000</v>
      </c>
      <c r="X136">
        <v>1E-4</v>
      </c>
      <c r="Y136">
        <v>150966.31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290</v>
      </c>
      <c r="AG136">
        <v>3.3333333333333335E-5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ROW(Source!A265)</f>
        <v>265</v>
      </c>
      <c r="B137">
        <v>1407492781</v>
      </c>
      <c r="C137">
        <v>1407492766</v>
      </c>
      <c r="D137">
        <v>1364553063</v>
      </c>
      <c r="E137">
        <v>1</v>
      </c>
      <c r="F137">
        <v>1</v>
      </c>
      <c r="G137">
        <v>39</v>
      </c>
      <c r="H137">
        <v>3</v>
      </c>
      <c r="I137" t="s">
        <v>538</v>
      </c>
      <c r="J137" t="s">
        <v>539</v>
      </c>
      <c r="K137" t="s">
        <v>540</v>
      </c>
      <c r="L137">
        <v>1296</v>
      </c>
      <c r="N137">
        <v>1002</v>
      </c>
      <c r="O137" t="s">
        <v>480</v>
      </c>
      <c r="P137" t="s">
        <v>480</v>
      </c>
      <c r="Q137">
        <v>1</v>
      </c>
      <c r="X137">
        <v>5.0000000000000001E-4</v>
      </c>
      <c r="Y137">
        <v>4237.25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290</v>
      </c>
      <c r="AG137">
        <v>1.6666666666666666E-4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ROW(Source!A265)</f>
        <v>265</v>
      </c>
      <c r="B138">
        <v>1407492782</v>
      </c>
      <c r="C138">
        <v>1407492766</v>
      </c>
      <c r="D138">
        <v>1364553125</v>
      </c>
      <c r="E138">
        <v>1</v>
      </c>
      <c r="F138">
        <v>1</v>
      </c>
      <c r="G138">
        <v>39</v>
      </c>
      <c r="H138">
        <v>3</v>
      </c>
      <c r="I138" t="s">
        <v>456</v>
      </c>
      <c r="J138" t="s">
        <v>457</v>
      </c>
      <c r="K138" t="s">
        <v>458</v>
      </c>
      <c r="L138">
        <v>1339</v>
      </c>
      <c r="N138">
        <v>1007</v>
      </c>
      <c r="O138" t="s">
        <v>459</v>
      </c>
      <c r="P138" t="s">
        <v>459</v>
      </c>
      <c r="Q138">
        <v>1</v>
      </c>
      <c r="X138">
        <v>5.0000000000000001E-4</v>
      </c>
      <c r="Y138">
        <v>49.83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290</v>
      </c>
      <c r="AG138">
        <v>1.6666666666666666E-4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ROW(Source!A265)</f>
        <v>265</v>
      </c>
      <c r="B139">
        <v>1407492783</v>
      </c>
      <c r="C139">
        <v>1407492766</v>
      </c>
      <c r="D139">
        <v>1364553372</v>
      </c>
      <c r="E139">
        <v>1</v>
      </c>
      <c r="F139">
        <v>1</v>
      </c>
      <c r="G139">
        <v>39</v>
      </c>
      <c r="H139">
        <v>3</v>
      </c>
      <c r="I139" t="s">
        <v>541</v>
      </c>
      <c r="J139" t="s">
        <v>542</v>
      </c>
      <c r="K139" t="s">
        <v>543</v>
      </c>
      <c r="L139">
        <v>1348</v>
      </c>
      <c r="N139">
        <v>1009</v>
      </c>
      <c r="O139" t="s">
        <v>487</v>
      </c>
      <c r="P139" t="s">
        <v>487</v>
      </c>
      <c r="Q139">
        <v>1000</v>
      </c>
      <c r="X139">
        <v>2.9999999999999997E-4</v>
      </c>
      <c r="Y139">
        <v>319868.21999999997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290</v>
      </c>
      <c r="AG139">
        <v>9.9999999999999991E-5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ROW(Source!A265)</f>
        <v>265</v>
      </c>
      <c r="B140">
        <v>1407492784</v>
      </c>
      <c r="C140">
        <v>1407492766</v>
      </c>
      <c r="D140">
        <v>1364551423</v>
      </c>
      <c r="E140">
        <v>1</v>
      </c>
      <c r="F140">
        <v>1</v>
      </c>
      <c r="G140">
        <v>39</v>
      </c>
      <c r="H140">
        <v>3</v>
      </c>
      <c r="I140" t="s">
        <v>544</v>
      </c>
      <c r="J140" t="s">
        <v>545</v>
      </c>
      <c r="K140" t="s">
        <v>546</v>
      </c>
      <c r="L140">
        <v>1348</v>
      </c>
      <c r="N140">
        <v>1009</v>
      </c>
      <c r="O140" t="s">
        <v>487</v>
      </c>
      <c r="P140" t="s">
        <v>487</v>
      </c>
      <c r="Q140">
        <v>1000</v>
      </c>
      <c r="X140">
        <v>5.0000000000000001E-4</v>
      </c>
      <c r="Y140">
        <v>171739.07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290</v>
      </c>
      <c r="AG140">
        <v>1.6666666666666666E-4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ROW(Source!A266)</f>
        <v>266</v>
      </c>
      <c r="B141">
        <v>1407492802</v>
      </c>
      <c r="C141">
        <v>1407492785</v>
      </c>
      <c r="D141">
        <v>1364549319</v>
      </c>
      <c r="E141">
        <v>39</v>
      </c>
      <c r="F141">
        <v>1</v>
      </c>
      <c r="G141">
        <v>39</v>
      </c>
      <c r="H141">
        <v>1</v>
      </c>
      <c r="I141" t="s">
        <v>449</v>
      </c>
      <c r="J141" t="s">
        <v>3</v>
      </c>
      <c r="K141" t="s">
        <v>450</v>
      </c>
      <c r="L141">
        <v>1191</v>
      </c>
      <c r="N141">
        <v>1013</v>
      </c>
      <c r="O141" t="s">
        <v>451</v>
      </c>
      <c r="P141" t="s">
        <v>451</v>
      </c>
      <c r="Q141">
        <v>1</v>
      </c>
      <c r="X141">
        <v>40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290</v>
      </c>
      <c r="AG141">
        <v>13.333333333333334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ROW(Source!A266)</f>
        <v>266</v>
      </c>
      <c r="B142">
        <v>1407492803</v>
      </c>
      <c r="C142">
        <v>1407492785</v>
      </c>
      <c r="D142">
        <v>1364552184</v>
      </c>
      <c r="E142">
        <v>1</v>
      </c>
      <c r="F142">
        <v>1</v>
      </c>
      <c r="G142">
        <v>39</v>
      </c>
      <c r="H142">
        <v>3</v>
      </c>
      <c r="I142" t="s">
        <v>535</v>
      </c>
      <c r="J142" t="s">
        <v>536</v>
      </c>
      <c r="K142" t="s">
        <v>537</v>
      </c>
      <c r="L142">
        <v>1348</v>
      </c>
      <c r="N142">
        <v>1009</v>
      </c>
      <c r="O142" t="s">
        <v>487</v>
      </c>
      <c r="P142" t="s">
        <v>487</v>
      </c>
      <c r="Q142">
        <v>1000</v>
      </c>
      <c r="X142">
        <v>5.0000000000000001E-4</v>
      </c>
      <c r="Y142">
        <v>150966.31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290</v>
      </c>
      <c r="AG142">
        <v>1.6666666666666666E-4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ROW(Source!A266)</f>
        <v>266</v>
      </c>
      <c r="B143">
        <v>1407492804</v>
      </c>
      <c r="C143">
        <v>1407492785</v>
      </c>
      <c r="D143">
        <v>1364552258</v>
      </c>
      <c r="E143">
        <v>1</v>
      </c>
      <c r="F143">
        <v>1</v>
      </c>
      <c r="G143">
        <v>39</v>
      </c>
      <c r="H143">
        <v>3</v>
      </c>
      <c r="I143" t="s">
        <v>547</v>
      </c>
      <c r="J143" t="s">
        <v>548</v>
      </c>
      <c r="K143" t="s">
        <v>549</v>
      </c>
      <c r="L143">
        <v>1348</v>
      </c>
      <c r="N143">
        <v>1009</v>
      </c>
      <c r="O143" t="s">
        <v>487</v>
      </c>
      <c r="P143" t="s">
        <v>487</v>
      </c>
      <c r="Q143">
        <v>1000</v>
      </c>
      <c r="X143">
        <v>1E-4</v>
      </c>
      <c r="Y143">
        <v>206648.23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290</v>
      </c>
      <c r="AG143">
        <v>3.3333333333333335E-5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ROW(Source!A266)</f>
        <v>266</v>
      </c>
      <c r="B144">
        <v>1407492805</v>
      </c>
      <c r="C144">
        <v>1407492785</v>
      </c>
      <c r="D144">
        <v>1364553372</v>
      </c>
      <c r="E144">
        <v>1</v>
      </c>
      <c r="F144">
        <v>1</v>
      </c>
      <c r="G144">
        <v>39</v>
      </c>
      <c r="H144">
        <v>3</v>
      </c>
      <c r="I144" t="s">
        <v>541</v>
      </c>
      <c r="J144" t="s">
        <v>542</v>
      </c>
      <c r="K144" t="s">
        <v>543</v>
      </c>
      <c r="L144">
        <v>1348</v>
      </c>
      <c r="N144">
        <v>1009</v>
      </c>
      <c r="O144" t="s">
        <v>487</v>
      </c>
      <c r="P144" t="s">
        <v>487</v>
      </c>
      <c r="Q144">
        <v>1000</v>
      </c>
      <c r="X144">
        <v>1.6000000000000001E-3</v>
      </c>
      <c r="Y144">
        <v>319868.21999999997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290</v>
      </c>
      <c r="AG144">
        <v>5.3333333333333336E-4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ROW(Source!A266)</f>
        <v>266</v>
      </c>
      <c r="B145">
        <v>1407492806</v>
      </c>
      <c r="C145">
        <v>1407492785</v>
      </c>
      <c r="D145">
        <v>1364551423</v>
      </c>
      <c r="E145">
        <v>1</v>
      </c>
      <c r="F145">
        <v>1</v>
      </c>
      <c r="G145">
        <v>39</v>
      </c>
      <c r="H145">
        <v>3</v>
      </c>
      <c r="I145" t="s">
        <v>544</v>
      </c>
      <c r="J145" t="s">
        <v>545</v>
      </c>
      <c r="K145" t="s">
        <v>546</v>
      </c>
      <c r="L145">
        <v>1348</v>
      </c>
      <c r="N145">
        <v>1009</v>
      </c>
      <c r="O145" t="s">
        <v>487</v>
      </c>
      <c r="P145" t="s">
        <v>487</v>
      </c>
      <c r="Q145">
        <v>1000</v>
      </c>
      <c r="X145">
        <v>5.0000000000000001E-4</v>
      </c>
      <c r="Y145">
        <v>171739.07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290</v>
      </c>
      <c r="AG145">
        <v>1.6666666666666666E-4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ROW(Source!A266)</f>
        <v>266</v>
      </c>
      <c r="B146">
        <v>1407492807</v>
      </c>
      <c r="C146">
        <v>1407492785</v>
      </c>
      <c r="D146">
        <v>1364551386</v>
      </c>
      <c r="E146">
        <v>1</v>
      </c>
      <c r="F146">
        <v>1</v>
      </c>
      <c r="G146">
        <v>39</v>
      </c>
      <c r="H146">
        <v>3</v>
      </c>
      <c r="I146" t="s">
        <v>550</v>
      </c>
      <c r="J146" t="s">
        <v>551</v>
      </c>
      <c r="K146" t="s">
        <v>552</v>
      </c>
      <c r="L146">
        <v>1348</v>
      </c>
      <c r="N146">
        <v>1009</v>
      </c>
      <c r="O146" t="s">
        <v>487</v>
      </c>
      <c r="P146" t="s">
        <v>487</v>
      </c>
      <c r="Q146">
        <v>1000</v>
      </c>
      <c r="X146">
        <v>1.1000000000000001E-3</v>
      </c>
      <c r="Y146">
        <v>130618.52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290</v>
      </c>
      <c r="AG146">
        <v>3.6666666666666667E-4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ROW(Source!A266)</f>
        <v>266</v>
      </c>
      <c r="B147">
        <v>1407492808</v>
      </c>
      <c r="C147">
        <v>1407492785</v>
      </c>
      <c r="D147">
        <v>1364551568</v>
      </c>
      <c r="E147">
        <v>1</v>
      </c>
      <c r="F147">
        <v>1</v>
      </c>
      <c r="G147">
        <v>39</v>
      </c>
      <c r="H147">
        <v>3</v>
      </c>
      <c r="I147" t="s">
        <v>553</v>
      </c>
      <c r="J147" t="s">
        <v>554</v>
      </c>
      <c r="K147" t="s">
        <v>555</v>
      </c>
      <c r="L147">
        <v>1348</v>
      </c>
      <c r="N147">
        <v>1009</v>
      </c>
      <c r="O147" t="s">
        <v>487</v>
      </c>
      <c r="P147" t="s">
        <v>487</v>
      </c>
      <c r="Q147">
        <v>1000</v>
      </c>
      <c r="X147">
        <v>5.4000000000000001E-4</v>
      </c>
      <c r="Y147">
        <v>106124.37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290</v>
      </c>
      <c r="AG147">
        <v>1.8000000000000001E-4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ROW(Source!A266)</f>
        <v>266</v>
      </c>
      <c r="B148">
        <v>1407492809</v>
      </c>
      <c r="C148">
        <v>1407492785</v>
      </c>
      <c r="D148">
        <v>1364549334</v>
      </c>
      <c r="E148">
        <v>39</v>
      </c>
      <c r="F148">
        <v>1</v>
      </c>
      <c r="G148">
        <v>39</v>
      </c>
      <c r="H148">
        <v>3</v>
      </c>
      <c r="I148" t="s">
        <v>556</v>
      </c>
      <c r="J148" t="s">
        <v>3</v>
      </c>
      <c r="K148" t="s">
        <v>557</v>
      </c>
      <c r="L148">
        <v>1348</v>
      </c>
      <c r="N148">
        <v>1009</v>
      </c>
      <c r="O148" t="s">
        <v>487</v>
      </c>
      <c r="P148" t="s">
        <v>487</v>
      </c>
      <c r="Q148">
        <v>1000</v>
      </c>
      <c r="X148">
        <v>6.0000000000000002E-5</v>
      </c>
      <c r="Y148">
        <v>99650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290</v>
      </c>
      <c r="AG148">
        <v>2.0000000000000002E-5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ROW(Source!A267)</f>
        <v>267</v>
      </c>
      <c r="B149">
        <v>1407492815</v>
      </c>
      <c r="C149">
        <v>1407492810</v>
      </c>
      <c r="D149">
        <v>1364549319</v>
      </c>
      <c r="E149">
        <v>39</v>
      </c>
      <c r="F149">
        <v>1</v>
      </c>
      <c r="G149">
        <v>39</v>
      </c>
      <c r="H149">
        <v>1</v>
      </c>
      <c r="I149" t="s">
        <v>449</v>
      </c>
      <c r="J149" t="s">
        <v>3</v>
      </c>
      <c r="K149" t="s">
        <v>450</v>
      </c>
      <c r="L149">
        <v>1191</v>
      </c>
      <c r="N149">
        <v>1013</v>
      </c>
      <c r="O149" t="s">
        <v>451</v>
      </c>
      <c r="P149" t="s">
        <v>451</v>
      </c>
      <c r="Q149">
        <v>1</v>
      </c>
      <c r="X149">
        <v>0.37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52</v>
      </c>
      <c r="AG149">
        <v>0.74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ROW(Source!A267)</f>
        <v>267</v>
      </c>
      <c r="B150">
        <v>1407492816</v>
      </c>
      <c r="C150">
        <v>1407492810</v>
      </c>
      <c r="D150">
        <v>1364551021</v>
      </c>
      <c r="E150">
        <v>1</v>
      </c>
      <c r="F150">
        <v>1</v>
      </c>
      <c r="G150">
        <v>39</v>
      </c>
      <c r="H150">
        <v>2</v>
      </c>
      <c r="I150" t="s">
        <v>470</v>
      </c>
      <c r="J150" t="s">
        <v>471</v>
      </c>
      <c r="K150" t="s">
        <v>472</v>
      </c>
      <c r="L150">
        <v>1368</v>
      </c>
      <c r="N150">
        <v>1011</v>
      </c>
      <c r="O150" t="s">
        <v>455</v>
      </c>
      <c r="P150" t="s">
        <v>455</v>
      </c>
      <c r="Q150">
        <v>1</v>
      </c>
      <c r="X150">
        <v>0.06</v>
      </c>
      <c r="Y150">
        <v>0</v>
      </c>
      <c r="Z150">
        <v>1490.46</v>
      </c>
      <c r="AA150">
        <v>808.44</v>
      </c>
      <c r="AB150">
        <v>0</v>
      </c>
      <c r="AC150">
        <v>0</v>
      </c>
      <c r="AD150">
        <v>1</v>
      </c>
      <c r="AE150">
        <v>0</v>
      </c>
      <c r="AF150" t="s">
        <v>52</v>
      </c>
      <c r="AG150">
        <v>0.12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ROW(Source!A268)</f>
        <v>268</v>
      </c>
      <c r="B151">
        <v>1407492822</v>
      </c>
      <c r="C151">
        <v>1407492817</v>
      </c>
      <c r="D151">
        <v>1364549319</v>
      </c>
      <c r="E151">
        <v>39</v>
      </c>
      <c r="F151">
        <v>1</v>
      </c>
      <c r="G151">
        <v>39</v>
      </c>
      <c r="H151">
        <v>1</v>
      </c>
      <c r="I151" t="s">
        <v>449</v>
      </c>
      <c r="J151" t="s">
        <v>3</v>
      </c>
      <c r="K151" t="s">
        <v>450</v>
      </c>
      <c r="L151">
        <v>1191</v>
      </c>
      <c r="N151">
        <v>1013</v>
      </c>
      <c r="O151" t="s">
        <v>451</v>
      </c>
      <c r="P151" t="s">
        <v>451</v>
      </c>
      <c r="Q151">
        <v>1</v>
      </c>
      <c r="X151">
        <v>0.9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3</v>
      </c>
      <c r="AG151">
        <v>0.9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ROW(Source!A268)</f>
        <v>268</v>
      </c>
      <c r="B152">
        <v>1407492823</v>
      </c>
      <c r="C152">
        <v>1407492817</v>
      </c>
      <c r="D152">
        <v>1364552913</v>
      </c>
      <c r="E152">
        <v>1</v>
      </c>
      <c r="F152">
        <v>1</v>
      </c>
      <c r="G152">
        <v>39</v>
      </c>
      <c r="H152">
        <v>3</v>
      </c>
      <c r="I152" t="s">
        <v>463</v>
      </c>
      <c r="J152" t="s">
        <v>464</v>
      </c>
      <c r="K152" t="s">
        <v>465</v>
      </c>
      <c r="L152">
        <v>1346</v>
      </c>
      <c r="N152">
        <v>1009</v>
      </c>
      <c r="O152" t="s">
        <v>466</v>
      </c>
      <c r="P152" t="s">
        <v>466</v>
      </c>
      <c r="Q152">
        <v>1</v>
      </c>
      <c r="X152">
        <v>0.01</v>
      </c>
      <c r="Y152">
        <v>26.09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0.01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ROW(Source!A269)</f>
        <v>269</v>
      </c>
      <c r="B153">
        <v>1407492831</v>
      </c>
      <c r="C153">
        <v>1407492824</v>
      </c>
      <c r="D153">
        <v>1364549319</v>
      </c>
      <c r="E153">
        <v>39</v>
      </c>
      <c r="F153">
        <v>1</v>
      </c>
      <c r="G153">
        <v>39</v>
      </c>
      <c r="H153">
        <v>1</v>
      </c>
      <c r="I153" t="s">
        <v>449</v>
      </c>
      <c r="J153" t="s">
        <v>3</v>
      </c>
      <c r="K153" t="s">
        <v>450</v>
      </c>
      <c r="L153">
        <v>1191</v>
      </c>
      <c r="N153">
        <v>1013</v>
      </c>
      <c r="O153" t="s">
        <v>451</v>
      </c>
      <c r="P153" t="s">
        <v>451</v>
      </c>
      <c r="Q153">
        <v>1</v>
      </c>
      <c r="X153">
        <v>0.2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52</v>
      </c>
      <c r="AG153">
        <v>0.4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ROW(Source!A269)</f>
        <v>269</v>
      </c>
      <c r="B154">
        <v>1407492832</v>
      </c>
      <c r="C154">
        <v>1407492824</v>
      </c>
      <c r="D154">
        <v>1364551021</v>
      </c>
      <c r="E154">
        <v>1</v>
      </c>
      <c r="F154">
        <v>1</v>
      </c>
      <c r="G154">
        <v>39</v>
      </c>
      <c r="H154">
        <v>2</v>
      </c>
      <c r="I154" t="s">
        <v>470</v>
      </c>
      <c r="J154" t="s">
        <v>471</v>
      </c>
      <c r="K154" t="s">
        <v>472</v>
      </c>
      <c r="L154">
        <v>1368</v>
      </c>
      <c r="N154">
        <v>1011</v>
      </c>
      <c r="O154" t="s">
        <v>455</v>
      </c>
      <c r="P154" t="s">
        <v>455</v>
      </c>
      <c r="Q154">
        <v>1</v>
      </c>
      <c r="X154">
        <v>0.02</v>
      </c>
      <c r="Y154">
        <v>0</v>
      </c>
      <c r="Z154">
        <v>1490.46</v>
      </c>
      <c r="AA154">
        <v>808.44</v>
      </c>
      <c r="AB154">
        <v>0</v>
      </c>
      <c r="AC154">
        <v>0</v>
      </c>
      <c r="AD154">
        <v>1</v>
      </c>
      <c r="AE154">
        <v>0</v>
      </c>
      <c r="AF154" t="s">
        <v>52</v>
      </c>
      <c r="AG154">
        <v>0.04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ROW(Source!A269)</f>
        <v>269</v>
      </c>
      <c r="B155">
        <v>1407492833</v>
      </c>
      <c r="C155">
        <v>1407492824</v>
      </c>
      <c r="D155">
        <v>1364552913</v>
      </c>
      <c r="E155">
        <v>1</v>
      </c>
      <c r="F155">
        <v>1</v>
      </c>
      <c r="G155">
        <v>39</v>
      </c>
      <c r="H155">
        <v>3</v>
      </c>
      <c r="I155" t="s">
        <v>463</v>
      </c>
      <c r="J155" t="s">
        <v>464</v>
      </c>
      <c r="K155" t="s">
        <v>465</v>
      </c>
      <c r="L155">
        <v>1346</v>
      </c>
      <c r="N155">
        <v>1009</v>
      </c>
      <c r="O155" t="s">
        <v>466</v>
      </c>
      <c r="P155" t="s">
        <v>466</v>
      </c>
      <c r="Q155">
        <v>1</v>
      </c>
      <c r="X155">
        <v>1.4999999999999999E-2</v>
      </c>
      <c r="Y155">
        <v>26.09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52</v>
      </c>
      <c r="AG155">
        <v>0.03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ROW(Source!A270)</f>
        <v>270</v>
      </c>
      <c r="B156">
        <v>1407492839</v>
      </c>
      <c r="C156">
        <v>1407492834</v>
      </c>
      <c r="D156">
        <v>1364549319</v>
      </c>
      <c r="E156">
        <v>39</v>
      </c>
      <c r="F156">
        <v>1</v>
      </c>
      <c r="G156">
        <v>39</v>
      </c>
      <c r="H156">
        <v>1</v>
      </c>
      <c r="I156" t="s">
        <v>449</v>
      </c>
      <c r="J156" t="s">
        <v>3</v>
      </c>
      <c r="K156" t="s">
        <v>450</v>
      </c>
      <c r="L156">
        <v>1191</v>
      </c>
      <c r="N156">
        <v>1013</v>
      </c>
      <c r="O156" t="s">
        <v>451</v>
      </c>
      <c r="P156" t="s">
        <v>451</v>
      </c>
      <c r="Q156">
        <v>1</v>
      </c>
      <c r="X156">
        <v>0.37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52</v>
      </c>
      <c r="AG156">
        <v>0.74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ROW(Source!A270)</f>
        <v>270</v>
      </c>
      <c r="B157">
        <v>1407492840</v>
      </c>
      <c r="C157">
        <v>1407492834</v>
      </c>
      <c r="D157">
        <v>1364551021</v>
      </c>
      <c r="E157">
        <v>1</v>
      </c>
      <c r="F157">
        <v>1</v>
      </c>
      <c r="G157">
        <v>39</v>
      </c>
      <c r="H157">
        <v>2</v>
      </c>
      <c r="I157" t="s">
        <v>470</v>
      </c>
      <c r="J157" t="s">
        <v>471</v>
      </c>
      <c r="K157" t="s">
        <v>472</v>
      </c>
      <c r="L157">
        <v>1368</v>
      </c>
      <c r="N157">
        <v>1011</v>
      </c>
      <c r="O157" t="s">
        <v>455</v>
      </c>
      <c r="P157" t="s">
        <v>455</v>
      </c>
      <c r="Q157">
        <v>1</v>
      </c>
      <c r="X157">
        <v>0.06</v>
      </c>
      <c r="Y157">
        <v>0</v>
      </c>
      <c r="Z157">
        <v>1490.46</v>
      </c>
      <c r="AA157">
        <v>808.44</v>
      </c>
      <c r="AB157">
        <v>0</v>
      </c>
      <c r="AC157">
        <v>0</v>
      </c>
      <c r="AD157">
        <v>1</v>
      </c>
      <c r="AE157">
        <v>0</v>
      </c>
      <c r="AF157" t="s">
        <v>52</v>
      </c>
      <c r="AG157">
        <v>0.12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ROW(Source!A271)</f>
        <v>271</v>
      </c>
      <c r="B158">
        <v>1407492844</v>
      </c>
      <c r="C158">
        <v>1407492841</v>
      </c>
      <c r="D158">
        <v>1364549319</v>
      </c>
      <c r="E158">
        <v>39</v>
      </c>
      <c r="F158">
        <v>1</v>
      </c>
      <c r="G158">
        <v>39</v>
      </c>
      <c r="H158">
        <v>1</v>
      </c>
      <c r="I158" t="s">
        <v>449</v>
      </c>
      <c r="J158" t="s">
        <v>3</v>
      </c>
      <c r="K158" t="s">
        <v>450</v>
      </c>
      <c r="L158">
        <v>1191</v>
      </c>
      <c r="N158">
        <v>1013</v>
      </c>
      <c r="O158" t="s">
        <v>451</v>
      </c>
      <c r="P158" t="s">
        <v>451</v>
      </c>
      <c r="Q158">
        <v>1</v>
      </c>
      <c r="X158">
        <v>0.06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20</v>
      </c>
      <c r="AG158">
        <v>0.24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ROW(Source!A345)</f>
        <v>345</v>
      </c>
      <c r="B159">
        <v>1407492870</v>
      </c>
      <c r="C159">
        <v>1407492845</v>
      </c>
      <c r="D159">
        <v>1364549319</v>
      </c>
      <c r="E159">
        <v>39</v>
      </c>
      <c r="F159">
        <v>1</v>
      </c>
      <c r="G159">
        <v>39</v>
      </c>
      <c r="H159">
        <v>1</v>
      </c>
      <c r="I159" t="s">
        <v>449</v>
      </c>
      <c r="J159" t="s">
        <v>3</v>
      </c>
      <c r="K159" t="s">
        <v>450</v>
      </c>
      <c r="L159">
        <v>1191</v>
      </c>
      <c r="N159">
        <v>1013</v>
      </c>
      <c r="O159" t="s">
        <v>451</v>
      </c>
      <c r="P159" t="s">
        <v>451</v>
      </c>
      <c r="Q159">
        <v>1</v>
      </c>
      <c r="X159">
        <v>1107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290</v>
      </c>
      <c r="AG159">
        <v>369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ROW(Source!A345)</f>
        <v>345</v>
      </c>
      <c r="B160">
        <v>1407492871</v>
      </c>
      <c r="C160">
        <v>1407492845</v>
      </c>
      <c r="D160">
        <v>1364552184</v>
      </c>
      <c r="E160">
        <v>1</v>
      </c>
      <c r="F160">
        <v>1</v>
      </c>
      <c r="G160">
        <v>39</v>
      </c>
      <c r="H160">
        <v>3</v>
      </c>
      <c r="I160" t="s">
        <v>535</v>
      </c>
      <c r="J160" t="s">
        <v>536</v>
      </c>
      <c r="K160" t="s">
        <v>537</v>
      </c>
      <c r="L160">
        <v>1348</v>
      </c>
      <c r="N160">
        <v>1009</v>
      </c>
      <c r="O160" t="s">
        <v>487</v>
      </c>
      <c r="P160" t="s">
        <v>487</v>
      </c>
      <c r="Q160">
        <v>1000</v>
      </c>
      <c r="X160">
        <v>1.8200000000000001E-2</v>
      </c>
      <c r="Y160">
        <v>150966.31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290</v>
      </c>
      <c r="AG160">
        <v>6.0666666666666673E-3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ROW(Source!A345)</f>
        <v>345</v>
      </c>
      <c r="B161">
        <v>1407492872</v>
      </c>
      <c r="C161">
        <v>1407492845</v>
      </c>
      <c r="D161">
        <v>1364552258</v>
      </c>
      <c r="E161">
        <v>1</v>
      </c>
      <c r="F161">
        <v>1</v>
      </c>
      <c r="G161">
        <v>39</v>
      </c>
      <c r="H161">
        <v>3</v>
      </c>
      <c r="I161" t="s">
        <v>547</v>
      </c>
      <c r="J161" t="s">
        <v>548</v>
      </c>
      <c r="K161" t="s">
        <v>549</v>
      </c>
      <c r="L161">
        <v>1348</v>
      </c>
      <c r="N161">
        <v>1009</v>
      </c>
      <c r="O161" t="s">
        <v>487</v>
      </c>
      <c r="P161" t="s">
        <v>487</v>
      </c>
      <c r="Q161">
        <v>1000</v>
      </c>
      <c r="X161">
        <v>2.7000000000000001E-3</v>
      </c>
      <c r="Y161">
        <v>206648.23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290</v>
      </c>
      <c r="AG161">
        <v>9.0000000000000008E-4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ROW(Source!A345)</f>
        <v>345</v>
      </c>
      <c r="B162">
        <v>1407492873</v>
      </c>
      <c r="C162">
        <v>1407492845</v>
      </c>
      <c r="D162">
        <v>1364553003</v>
      </c>
      <c r="E162">
        <v>1</v>
      </c>
      <c r="F162">
        <v>1</v>
      </c>
      <c r="G162">
        <v>39</v>
      </c>
      <c r="H162">
        <v>3</v>
      </c>
      <c r="I162" t="s">
        <v>558</v>
      </c>
      <c r="J162" t="s">
        <v>559</v>
      </c>
      <c r="K162" t="s">
        <v>560</v>
      </c>
      <c r="L162">
        <v>1348</v>
      </c>
      <c r="N162">
        <v>1009</v>
      </c>
      <c r="O162" t="s">
        <v>487</v>
      </c>
      <c r="P162" t="s">
        <v>487</v>
      </c>
      <c r="Q162">
        <v>1000</v>
      </c>
      <c r="X162">
        <v>4.4999999999999997E-3</v>
      </c>
      <c r="Y162">
        <v>126030.08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290</v>
      </c>
      <c r="AG162">
        <v>1.4999999999999998E-3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ROW(Source!A345)</f>
        <v>345</v>
      </c>
      <c r="B163">
        <v>1407492874</v>
      </c>
      <c r="C163">
        <v>1407492845</v>
      </c>
      <c r="D163">
        <v>1364553484</v>
      </c>
      <c r="E163">
        <v>1</v>
      </c>
      <c r="F163">
        <v>1</v>
      </c>
      <c r="G163">
        <v>39</v>
      </c>
      <c r="H163">
        <v>3</v>
      </c>
      <c r="I163" t="s">
        <v>561</v>
      </c>
      <c r="J163" t="s">
        <v>562</v>
      </c>
      <c r="K163" t="s">
        <v>563</v>
      </c>
      <c r="L163">
        <v>1348</v>
      </c>
      <c r="N163">
        <v>1009</v>
      </c>
      <c r="O163" t="s">
        <v>487</v>
      </c>
      <c r="P163" t="s">
        <v>487</v>
      </c>
      <c r="Q163">
        <v>1000</v>
      </c>
      <c r="X163">
        <v>6.7999999999999996E-3</v>
      </c>
      <c r="Y163">
        <v>1371168.96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290</v>
      </c>
      <c r="AG163">
        <v>2.2666666666666664E-3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ROW(Source!A345)</f>
        <v>345</v>
      </c>
      <c r="B164">
        <v>1407492875</v>
      </c>
      <c r="C164">
        <v>1407492845</v>
      </c>
      <c r="D164">
        <v>1364551387</v>
      </c>
      <c r="E164">
        <v>1</v>
      </c>
      <c r="F164">
        <v>1</v>
      </c>
      <c r="G164">
        <v>39</v>
      </c>
      <c r="H164">
        <v>3</v>
      </c>
      <c r="I164" t="s">
        <v>564</v>
      </c>
      <c r="J164" t="s">
        <v>565</v>
      </c>
      <c r="K164" t="s">
        <v>566</v>
      </c>
      <c r="L164">
        <v>1339</v>
      </c>
      <c r="N164">
        <v>1007</v>
      </c>
      <c r="O164" t="s">
        <v>459</v>
      </c>
      <c r="P164" t="s">
        <v>459</v>
      </c>
      <c r="Q164">
        <v>1</v>
      </c>
      <c r="X164">
        <v>34.6</v>
      </c>
      <c r="Y164">
        <v>90.88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290</v>
      </c>
      <c r="AG164">
        <v>11.533333333333333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ROW(Source!A345)</f>
        <v>345</v>
      </c>
      <c r="B165">
        <v>1407492876</v>
      </c>
      <c r="C165">
        <v>1407492845</v>
      </c>
      <c r="D165">
        <v>1364551379</v>
      </c>
      <c r="E165">
        <v>1</v>
      </c>
      <c r="F165">
        <v>1</v>
      </c>
      <c r="G165">
        <v>39</v>
      </c>
      <c r="H165">
        <v>3</v>
      </c>
      <c r="I165" t="s">
        <v>567</v>
      </c>
      <c r="J165" t="s">
        <v>568</v>
      </c>
      <c r="K165" t="s">
        <v>569</v>
      </c>
      <c r="L165">
        <v>1339</v>
      </c>
      <c r="N165">
        <v>1007</v>
      </c>
      <c r="O165" t="s">
        <v>459</v>
      </c>
      <c r="P165" t="s">
        <v>459</v>
      </c>
      <c r="Q165">
        <v>1</v>
      </c>
      <c r="X165">
        <v>18.899999999999999</v>
      </c>
      <c r="Y165">
        <v>821.85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290</v>
      </c>
      <c r="AG165">
        <v>6.3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ROW(Source!A345)</f>
        <v>345</v>
      </c>
      <c r="B166">
        <v>1407492877</v>
      </c>
      <c r="C166">
        <v>1407492845</v>
      </c>
      <c r="D166">
        <v>1364551423</v>
      </c>
      <c r="E166">
        <v>1</v>
      </c>
      <c r="F166">
        <v>1</v>
      </c>
      <c r="G166">
        <v>39</v>
      </c>
      <c r="H166">
        <v>3</v>
      </c>
      <c r="I166" t="s">
        <v>544</v>
      </c>
      <c r="J166" t="s">
        <v>545</v>
      </c>
      <c r="K166" t="s">
        <v>546</v>
      </c>
      <c r="L166">
        <v>1348</v>
      </c>
      <c r="N166">
        <v>1009</v>
      </c>
      <c r="O166" t="s">
        <v>487</v>
      </c>
      <c r="P166" t="s">
        <v>487</v>
      </c>
      <c r="Q166">
        <v>1000</v>
      </c>
      <c r="X166">
        <v>3.8E-3</v>
      </c>
      <c r="Y166">
        <v>171739.07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290</v>
      </c>
      <c r="AG166">
        <v>1.2666666666666666E-3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ROW(Source!A345)</f>
        <v>345</v>
      </c>
      <c r="B167">
        <v>1407492878</v>
      </c>
      <c r="C167">
        <v>1407492845</v>
      </c>
      <c r="D167">
        <v>1364551386</v>
      </c>
      <c r="E167">
        <v>1</v>
      </c>
      <c r="F167">
        <v>1</v>
      </c>
      <c r="G167">
        <v>39</v>
      </c>
      <c r="H167">
        <v>3</v>
      </c>
      <c r="I167" t="s">
        <v>550</v>
      </c>
      <c r="J167" t="s">
        <v>551</v>
      </c>
      <c r="K167" t="s">
        <v>552</v>
      </c>
      <c r="L167">
        <v>1348</v>
      </c>
      <c r="N167">
        <v>1009</v>
      </c>
      <c r="O167" t="s">
        <v>487</v>
      </c>
      <c r="P167" t="s">
        <v>487</v>
      </c>
      <c r="Q167">
        <v>1000</v>
      </c>
      <c r="X167">
        <v>2.5000000000000001E-3</v>
      </c>
      <c r="Y167">
        <v>130618.52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290</v>
      </c>
      <c r="AG167">
        <v>8.3333333333333339E-4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ROW(Source!A345)</f>
        <v>345</v>
      </c>
      <c r="B168">
        <v>1407492879</v>
      </c>
      <c r="C168">
        <v>1407492845</v>
      </c>
      <c r="D168">
        <v>1364551568</v>
      </c>
      <c r="E168">
        <v>1</v>
      </c>
      <c r="F168">
        <v>1</v>
      </c>
      <c r="G168">
        <v>39</v>
      </c>
      <c r="H168">
        <v>3</v>
      </c>
      <c r="I168" t="s">
        <v>553</v>
      </c>
      <c r="J168" t="s">
        <v>554</v>
      </c>
      <c r="K168" t="s">
        <v>555</v>
      </c>
      <c r="L168">
        <v>1348</v>
      </c>
      <c r="N168">
        <v>1009</v>
      </c>
      <c r="O168" t="s">
        <v>487</v>
      </c>
      <c r="P168" t="s">
        <v>487</v>
      </c>
      <c r="Q168">
        <v>1000</v>
      </c>
      <c r="X168">
        <v>2.07E-2</v>
      </c>
      <c r="Y168">
        <v>106124.37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290</v>
      </c>
      <c r="AG168">
        <v>6.8999999999999999E-3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ROW(Source!A345)</f>
        <v>345</v>
      </c>
      <c r="B169">
        <v>1407492880</v>
      </c>
      <c r="C169">
        <v>1407492845</v>
      </c>
      <c r="D169">
        <v>1364551585</v>
      </c>
      <c r="E169">
        <v>1</v>
      </c>
      <c r="F169">
        <v>1</v>
      </c>
      <c r="G169">
        <v>39</v>
      </c>
      <c r="H169">
        <v>3</v>
      </c>
      <c r="I169" t="s">
        <v>570</v>
      </c>
      <c r="J169" t="s">
        <v>571</v>
      </c>
      <c r="K169" t="s">
        <v>572</v>
      </c>
      <c r="L169">
        <v>1348</v>
      </c>
      <c r="N169">
        <v>1009</v>
      </c>
      <c r="O169" t="s">
        <v>487</v>
      </c>
      <c r="P169" t="s">
        <v>487</v>
      </c>
      <c r="Q169">
        <v>1000</v>
      </c>
      <c r="X169">
        <v>1.29E-2</v>
      </c>
      <c r="Y169">
        <v>100589.66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290</v>
      </c>
      <c r="AG169">
        <v>4.3E-3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ROW(Source!A345)</f>
        <v>345</v>
      </c>
      <c r="B170">
        <v>1407492881</v>
      </c>
      <c r="C170">
        <v>1407492845</v>
      </c>
      <c r="D170">
        <v>1364549334</v>
      </c>
      <c r="E170">
        <v>39</v>
      </c>
      <c r="F170">
        <v>1</v>
      </c>
      <c r="G170">
        <v>39</v>
      </c>
      <c r="H170">
        <v>3</v>
      </c>
      <c r="I170" t="s">
        <v>556</v>
      </c>
      <c r="J170" t="s">
        <v>3</v>
      </c>
      <c r="K170" t="s">
        <v>557</v>
      </c>
      <c r="L170">
        <v>1348</v>
      </c>
      <c r="N170">
        <v>1009</v>
      </c>
      <c r="O170" t="s">
        <v>487</v>
      </c>
      <c r="P170" t="s">
        <v>487</v>
      </c>
      <c r="Q170">
        <v>1000</v>
      </c>
      <c r="X170">
        <v>2.3E-3</v>
      </c>
      <c r="Y170">
        <v>99650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290</v>
      </c>
      <c r="AG170">
        <v>7.6666666666666669E-4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ROW(Source!A346)</f>
        <v>346</v>
      </c>
      <c r="B171">
        <v>1407492891</v>
      </c>
      <c r="C171">
        <v>1407492882</v>
      </c>
      <c r="D171">
        <v>1364549319</v>
      </c>
      <c r="E171">
        <v>39</v>
      </c>
      <c r="F171">
        <v>1</v>
      </c>
      <c r="G171">
        <v>39</v>
      </c>
      <c r="H171">
        <v>1</v>
      </c>
      <c r="I171" t="s">
        <v>449</v>
      </c>
      <c r="J171" t="s">
        <v>3</v>
      </c>
      <c r="K171" t="s">
        <v>450</v>
      </c>
      <c r="L171">
        <v>1191</v>
      </c>
      <c r="N171">
        <v>1013</v>
      </c>
      <c r="O171" t="s">
        <v>451</v>
      </c>
      <c r="P171" t="s">
        <v>451</v>
      </c>
      <c r="Q171">
        <v>1</v>
      </c>
      <c r="X171">
        <v>17.34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3</v>
      </c>
      <c r="AG171">
        <v>17.34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ROW(Source!A346)</f>
        <v>346</v>
      </c>
      <c r="B172">
        <v>1407492892</v>
      </c>
      <c r="C172">
        <v>1407492882</v>
      </c>
      <c r="D172">
        <v>1364552913</v>
      </c>
      <c r="E172">
        <v>1</v>
      </c>
      <c r="F172">
        <v>1</v>
      </c>
      <c r="G172">
        <v>39</v>
      </c>
      <c r="H172">
        <v>3</v>
      </c>
      <c r="I172" t="s">
        <v>463</v>
      </c>
      <c r="J172" t="s">
        <v>464</v>
      </c>
      <c r="K172" t="s">
        <v>465</v>
      </c>
      <c r="L172">
        <v>1346</v>
      </c>
      <c r="N172">
        <v>1009</v>
      </c>
      <c r="O172" t="s">
        <v>466</v>
      </c>
      <c r="P172" t="s">
        <v>466</v>
      </c>
      <c r="Q172">
        <v>1</v>
      </c>
      <c r="X172">
        <v>0.2</v>
      </c>
      <c r="Y172">
        <v>26.09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0.2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ROW(Source!A346)</f>
        <v>346</v>
      </c>
      <c r="B173">
        <v>1407492893</v>
      </c>
      <c r="C173">
        <v>1407492882</v>
      </c>
      <c r="D173">
        <v>1364551411</v>
      </c>
      <c r="E173">
        <v>1</v>
      </c>
      <c r="F173">
        <v>1</v>
      </c>
      <c r="G173">
        <v>39</v>
      </c>
      <c r="H173">
        <v>3</v>
      </c>
      <c r="I173" t="s">
        <v>573</v>
      </c>
      <c r="J173" t="s">
        <v>574</v>
      </c>
      <c r="K173" t="s">
        <v>575</v>
      </c>
      <c r="L173">
        <v>1348</v>
      </c>
      <c r="N173">
        <v>1009</v>
      </c>
      <c r="O173" t="s">
        <v>487</v>
      </c>
      <c r="P173" t="s">
        <v>487</v>
      </c>
      <c r="Q173">
        <v>1000</v>
      </c>
      <c r="X173">
        <v>1.4999999999999999E-4</v>
      </c>
      <c r="Y173">
        <v>116878.71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1.4999999999999999E-4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ROW(Source!A346)</f>
        <v>346</v>
      </c>
      <c r="B174">
        <v>1407492894</v>
      </c>
      <c r="C174">
        <v>1407492882</v>
      </c>
      <c r="D174">
        <v>1364561637</v>
      </c>
      <c r="E174">
        <v>1</v>
      </c>
      <c r="F174">
        <v>1</v>
      </c>
      <c r="G174">
        <v>39</v>
      </c>
      <c r="H174">
        <v>3</v>
      </c>
      <c r="I174" t="s">
        <v>576</v>
      </c>
      <c r="J174" t="s">
        <v>577</v>
      </c>
      <c r="K174" t="s">
        <v>578</v>
      </c>
      <c r="L174">
        <v>1355</v>
      </c>
      <c r="N174">
        <v>16987630</v>
      </c>
      <c r="O174" t="s">
        <v>149</v>
      </c>
      <c r="P174" t="s">
        <v>149</v>
      </c>
      <c r="Q174">
        <v>100</v>
      </c>
      <c r="X174">
        <v>0.5</v>
      </c>
      <c r="Y174">
        <v>198.75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0.5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ROW(Source!A347)</f>
        <v>347</v>
      </c>
      <c r="B175">
        <v>1407492898</v>
      </c>
      <c r="C175">
        <v>1407492895</v>
      </c>
      <c r="D175">
        <v>1364549319</v>
      </c>
      <c r="E175">
        <v>39</v>
      </c>
      <c r="F175">
        <v>1</v>
      </c>
      <c r="G175">
        <v>39</v>
      </c>
      <c r="H175">
        <v>1</v>
      </c>
      <c r="I175" t="s">
        <v>449</v>
      </c>
      <c r="J175" t="s">
        <v>3</v>
      </c>
      <c r="K175" t="s">
        <v>450</v>
      </c>
      <c r="L175">
        <v>1191</v>
      </c>
      <c r="N175">
        <v>1013</v>
      </c>
      <c r="O175" t="s">
        <v>451</v>
      </c>
      <c r="P175" t="s">
        <v>451</v>
      </c>
      <c r="Q175">
        <v>1</v>
      </c>
      <c r="X175">
        <v>0.45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20</v>
      </c>
      <c r="AG175">
        <v>1.8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ROW(Source!A348)</f>
        <v>348</v>
      </c>
      <c r="B176">
        <v>1407492906</v>
      </c>
      <c r="C176">
        <v>1407492899</v>
      </c>
      <c r="D176">
        <v>1364549319</v>
      </c>
      <c r="E176">
        <v>39</v>
      </c>
      <c r="F176">
        <v>1</v>
      </c>
      <c r="G176">
        <v>39</v>
      </c>
      <c r="H176">
        <v>1</v>
      </c>
      <c r="I176" t="s">
        <v>449</v>
      </c>
      <c r="J176" t="s">
        <v>3</v>
      </c>
      <c r="K176" t="s">
        <v>450</v>
      </c>
      <c r="L176">
        <v>1191</v>
      </c>
      <c r="N176">
        <v>1013</v>
      </c>
      <c r="O176" t="s">
        <v>451</v>
      </c>
      <c r="P176" t="s">
        <v>451</v>
      </c>
      <c r="Q176">
        <v>1</v>
      </c>
      <c r="X176">
        <v>4.9800000000000004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325</v>
      </c>
      <c r="AG176">
        <v>3.3200000000000003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ROW(Source!A348)</f>
        <v>348</v>
      </c>
      <c r="B177">
        <v>1407492907</v>
      </c>
      <c r="C177">
        <v>1407492899</v>
      </c>
      <c r="D177">
        <v>1364551021</v>
      </c>
      <c r="E177">
        <v>1</v>
      </c>
      <c r="F177">
        <v>1</v>
      </c>
      <c r="G177">
        <v>39</v>
      </c>
      <c r="H177">
        <v>2</v>
      </c>
      <c r="I177" t="s">
        <v>470</v>
      </c>
      <c r="J177" t="s">
        <v>471</v>
      </c>
      <c r="K177" t="s">
        <v>472</v>
      </c>
      <c r="L177">
        <v>1368</v>
      </c>
      <c r="N177">
        <v>1011</v>
      </c>
      <c r="O177" t="s">
        <v>455</v>
      </c>
      <c r="P177" t="s">
        <v>455</v>
      </c>
      <c r="Q177">
        <v>1</v>
      </c>
      <c r="X177">
        <v>1.84</v>
      </c>
      <c r="Y177">
        <v>0</v>
      </c>
      <c r="Z177">
        <v>1490.46</v>
      </c>
      <c r="AA177">
        <v>808.44</v>
      </c>
      <c r="AB177">
        <v>0</v>
      </c>
      <c r="AC177">
        <v>0</v>
      </c>
      <c r="AD177">
        <v>1</v>
      </c>
      <c r="AE177">
        <v>0</v>
      </c>
      <c r="AF177" t="s">
        <v>325</v>
      </c>
      <c r="AG177">
        <v>1.2266666666666668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ROW(Source!A348)</f>
        <v>348</v>
      </c>
      <c r="B178">
        <v>1407492908</v>
      </c>
      <c r="C178">
        <v>1407492899</v>
      </c>
      <c r="D178">
        <v>1364552913</v>
      </c>
      <c r="E178">
        <v>1</v>
      </c>
      <c r="F178">
        <v>1</v>
      </c>
      <c r="G178">
        <v>39</v>
      </c>
      <c r="H178">
        <v>3</v>
      </c>
      <c r="I178" t="s">
        <v>463</v>
      </c>
      <c r="J178" t="s">
        <v>464</v>
      </c>
      <c r="K178" t="s">
        <v>465</v>
      </c>
      <c r="L178">
        <v>1346</v>
      </c>
      <c r="N178">
        <v>1009</v>
      </c>
      <c r="O178" t="s">
        <v>466</v>
      </c>
      <c r="P178" t="s">
        <v>466</v>
      </c>
      <c r="Q178">
        <v>1</v>
      </c>
      <c r="X178">
        <v>0.24</v>
      </c>
      <c r="Y178">
        <v>26.09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325</v>
      </c>
      <c r="AG178">
        <v>0.16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ROW(Source!A349)</f>
        <v>349</v>
      </c>
      <c r="B179">
        <v>1407492916</v>
      </c>
      <c r="C179">
        <v>1407492909</v>
      </c>
      <c r="D179">
        <v>1364549319</v>
      </c>
      <c r="E179">
        <v>39</v>
      </c>
      <c r="F179">
        <v>1</v>
      </c>
      <c r="G179">
        <v>39</v>
      </c>
      <c r="H179">
        <v>1</v>
      </c>
      <c r="I179" t="s">
        <v>449</v>
      </c>
      <c r="J179" t="s">
        <v>3</v>
      </c>
      <c r="K179" t="s">
        <v>450</v>
      </c>
      <c r="L179">
        <v>1191</v>
      </c>
      <c r="N179">
        <v>1013</v>
      </c>
      <c r="O179" t="s">
        <v>451</v>
      </c>
      <c r="P179" t="s">
        <v>451</v>
      </c>
      <c r="Q179">
        <v>1</v>
      </c>
      <c r="X179">
        <v>0.42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20</v>
      </c>
      <c r="AG179">
        <v>1.68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ROW(Source!A349)</f>
        <v>349</v>
      </c>
      <c r="B180">
        <v>1407492917</v>
      </c>
      <c r="C180">
        <v>1407492909</v>
      </c>
      <c r="D180">
        <v>1364551021</v>
      </c>
      <c r="E180">
        <v>1</v>
      </c>
      <c r="F180">
        <v>1</v>
      </c>
      <c r="G180">
        <v>39</v>
      </c>
      <c r="H180">
        <v>2</v>
      </c>
      <c r="I180" t="s">
        <v>470</v>
      </c>
      <c r="J180" t="s">
        <v>471</v>
      </c>
      <c r="K180" t="s">
        <v>472</v>
      </c>
      <c r="L180">
        <v>1368</v>
      </c>
      <c r="N180">
        <v>1011</v>
      </c>
      <c r="O180" t="s">
        <v>455</v>
      </c>
      <c r="P180" t="s">
        <v>455</v>
      </c>
      <c r="Q180">
        <v>1</v>
      </c>
      <c r="X180">
        <v>0.15</v>
      </c>
      <c r="Y180">
        <v>0</v>
      </c>
      <c r="Z180">
        <v>1490.46</v>
      </c>
      <c r="AA180">
        <v>808.44</v>
      </c>
      <c r="AB180">
        <v>0</v>
      </c>
      <c r="AC180">
        <v>0</v>
      </c>
      <c r="AD180">
        <v>1</v>
      </c>
      <c r="AE180">
        <v>0</v>
      </c>
      <c r="AF180" t="s">
        <v>20</v>
      </c>
      <c r="AG180">
        <v>0.6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ROW(Source!A349)</f>
        <v>349</v>
      </c>
      <c r="B181">
        <v>1407492918</v>
      </c>
      <c r="C181">
        <v>1407492909</v>
      </c>
      <c r="D181">
        <v>1364552913</v>
      </c>
      <c r="E181">
        <v>1</v>
      </c>
      <c r="F181">
        <v>1</v>
      </c>
      <c r="G181">
        <v>39</v>
      </c>
      <c r="H181">
        <v>3</v>
      </c>
      <c r="I181" t="s">
        <v>463</v>
      </c>
      <c r="J181" t="s">
        <v>464</v>
      </c>
      <c r="K181" t="s">
        <v>465</v>
      </c>
      <c r="L181">
        <v>1346</v>
      </c>
      <c r="N181">
        <v>1009</v>
      </c>
      <c r="O181" t="s">
        <v>466</v>
      </c>
      <c r="P181" t="s">
        <v>466</v>
      </c>
      <c r="Q181">
        <v>1</v>
      </c>
      <c r="X181">
        <v>0.02</v>
      </c>
      <c r="Y181">
        <v>26.09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20</v>
      </c>
      <c r="AG181">
        <v>0.08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ROW(Source!A351)</f>
        <v>351</v>
      </c>
      <c r="B182">
        <v>1407492927</v>
      </c>
      <c r="C182">
        <v>1407492920</v>
      </c>
      <c r="D182">
        <v>1364549319</v>
      </c>
      <c r="E182">
        <v>39</v>
      </c>
      <c r="F182">
        <v>1</v>
      </c>
      <c r="G182">
        <v>39</v>
      </c>
      <c r="H182">
        <v>1</v>
      </c>
      <c r="I182" t="s">
        <v>449</v>
      </c>
      <c r="J182" t="s">
        <v>3</v>
      </c>
      <c r="K182" t="s">
        <v>450</v>
      </c>
      <c r="L182">
        <v>1191</v>
      </c>
      <c r="N182">
        <v>1013</v>
      </c>
      <c r="O182" t="s">
        <v>451</v>
      </c>
      <c r="P182" t="s">
        <v>451</v>
      </c>
      <c r="Q182">
        <v>1</v>
      </c>
      <c r="X182">
        <v>1.8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52</v>
      </c>
      <c r="AG182">
        <v>3.6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ROW(Source!A351)</f>
        <v>351</v>
      </c>
      <c r="B183">
        <v>1407492928</v>
      </c>
      <c r="C183">
        <v>1407492920</v>
      </c>
      <c r="D183">
        <v>1364552866</v>
      </c>
      <c r="E183">
        <v>1</v>
      </c>
      <c r="F183">
        <v>1</v>
      </c>
      <c r="G183">
        <v>39</v>
      </c>
      <c r="H183">
        <v>3</v>
      </c>
      <c r="I183" t="s">
        <v>488</v>
      </c>
      <c r="J183" t="s">
        <v>489</v>
      </c>
      <c r="K183" t="s">
        <v>490</v>
      </c>
      <c r="L183">
        <v>1346</v>
      </c>
      <c r="N183">
        <v>1009</v>
      </c>
      <c r="O183" t="s">
        <v>466</v>
      </c>
      <c r="P183" t="s">
        <v>466</v>
      </c>
      <c r="Q183">
        <v>1</v>
      </c>
      <c r="X183">
        <v>8.0000000000000002E-3</v>
      </c>
      <c r="Y183">
        <v>276.63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52</v>
      </c>
      <c r="AG183">
        <v>1.6E-2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ROW(Source!A351)</f>
        <v>351</v>
      </c>
      <c r="B184">
        <v>1407492929</v>
      </c>
      <c r="C184">
        <v>1407492920</v>
      </c>
      <c r="D184">
        <v>1364552913</v>
      </c>
      <c r="E184">
        <v>1</v>
      </c>
      <c r="F184">
        <v>1</v>
      </c>
      <c r="G184">
        <v>39</v>
      </c>
      <c r="H184">
        <v>3</v>
      </c>
      <c r="I184" t="s">
        <v>463</v>
      </c>
      <c r="J184" t="s">
        <v>464</v>
      </c>
      <c r="K184" t="s">
        <v>465</v>
      </c>
      <c r="L184">
        <v>1346</v>
      </c>
      <c r="N184">
        <v>1009</v>
      </c>
      <c r="O184" t="s">
        <v>466</v>
      </c>
      <c r="P184" t="s">
        <v>466</v>
      </c>
      <c r="Q184">
        <v>1</v>
      </c>
      <c r="X184">
        <v>0.5</v>
      </c>
      <c r="Y184">
        <v>26.09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52</v>
      </c>
      <c r="AG184">
        <v>1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ROW(Source!A352)</f>
        <v>352</v>
      </c>
      <c r="B185">
        <v>1407492933</v>
      </c>
      <c r="C185">
        <v>1407492930</v>
      </c>
      <c r="D185">
        <v>1364549319</v>
      </c>
      <c r="E185">
        <v>39</v>
      </c>
      <c r="F185">
        <v>1</v>
      </c>
      <c r="G185">
        <v>39</v>
      </c>
      <c r="H185">
        <v>1</v>
      </c>
      <c r="I185" t="s">
        <v>449</v>
      </c>
      <c r="J185" t="s">
        <v>3</v>
      </c>
      <c r="K185" t="s">
        <v>450</v>
      </c>
      <c r="L185">
        <v>1191</v>
      </c>
      <c r="N185">
        <v>1013</v>
      </c>
      <c r="O185" t="s">
        <v>451</v>
      </c>
      <c r="P185" t="s">
        <v>451</v>
      </c>
      <c r="Q185">
        <v>1</v>
      </c>
      <c r="X185">
        <v>1.33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52</v>
      </c>
      <c r="AG185">
        <v>2.66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ROW(Source!A353)</f>
        <v>353</v>
      </c>
      <c r="B186">
        <v>1407492941</v>
      </c>
      <c r="C186">
        <v>1407492934</v>
      </c>
      <c r="D186">
        <v>1364549319</v>
      </c>
      <c r="E186">
        <v>39</v>
      </c>
      <c r="F186">
        <v>1</v>
      </c>
      <c r="G186">
        <v>39</v>
      </c>
      <c r="H186">
        <v>1</v>
      </c>
      <c r="I186" t="s">
        <v>449</v>
      </c>
      <c r="J186" t="s">
        <v>3</v>
      </c>
      <c r="K186" t="s">
        <v>450</v>
      </c>
      <c r="L186">
        <v>1191</v>
      </c>
      <c r="N186">
        <v>1013</v>
      </c>
      <c r="O186" t="s">
        <v>451</v>
      </c>
      <c r="P186" t="s">
        <v>451</v>
      </c>
      <c r="Q186">
        <v>1</v>
      </c>
      <c r="X186">
        <v>1.8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52</v>
      </c>
      <c r="AG186">
        <v>3.6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ROW(Source!A353)</f>
        <v>353</v>
      </c>
      <c r="B187">
        <v>1407492942</v>
      </c>
      <c r="C187">
        <v>1407492934</v>
      </c>
      <c r="D187">
        <v>1364552866</v>
      </c>
      <c r="E187">
        <v>1</v>
      </c>
      <c r="F187">
        <v>1</v>
      </c>
      <c r="G187">
        <v>39</v>
      </c>
      <c r="H187">
        <v>3</v>
      </c>
      <c r="I187" t="s">
        <v>488</v>
      </c>
      <c r="J187" t="s">
        <v>489</v>
      </c>
      <c r="K187" t="s">
        <v>490</v>
      </c>
      <c r="L187">
        <v>1346</v>
      </c>
      <c r="N187">
        <v>1009</v>
      </c>
      <c r="O187" t="s">
        <v>466</v>
      </c>
      <c r="P187" t="s">
        <v>466</v>
      </c>
      <c r="Q187">
        <v>1</v>
      </c>
      <c r="X187">
        <v>8.0000000000000002E-3</v>
      </c>
      <c r="Y187">
        <v>276.63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52</v>
      </c>
      <c r="AG187">
        <v>1.6E-2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ROW(Source!A353)</f>
        <v>353</v>
      </c>
      <c r="B188">
        <v>1407492943</v>
      </c>
      <c r="C188">
        <v>1407492934</v>
      </c>
      <c r="D188">
        <v>1364552913</v>
      </c>
      <c r="E188">
        <v>1</v>
      </c>
      <c r="F188">
        <v>1</v>
      </c>
      <c r="G188">
        <v>39</v>
      </c>
      <c r="H188">
        <v>3</v>
      </c>
      <c r="I188" t="s">
        <v>463</v>
      </c>
      <c r="J188" t="s">
        <v>464</v>
      </c>
      <c r="K188" t="s">
        <v>465</v>
      </c>
      <c r="L188">
        <v>1346</v>
      </c>
      <c r="N188">
        <v>1009</v>
      </c>
      <c r="O188" t="s">
        <v>466</v>
      </c>
      <c r="P188" t="s">
        <v>466</v>
      </c>
      <c r="Q188">
        <v>1</v>
      </c>
      <c r="X188">
        <v>0.5</v>
      </c>
      <c r="Y188">
        <v>26.09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52</v>
      </c>
      <c r="AG188">
        <v>1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ROW(Source!A354)</f>
        <v>354</v>
      </c>
      <c r="B189">
        <v>1407492953</v>
      </c>
      <c r="C189">
        <v>1407492944</v>
      </c>
      <c r="D189">
        <v>1364549319</v>
      </c>
      <c r="E189">
        <v>39</v>
      </c>
      <c r="F189">
        <v>1</v>
      </c>
      <c r="G189">
        <v>39</v>
      </c>
      <c r="H189">
        <v>1</v>
      </c>
      <c r="I189" t="s">
        <v>449</v>
      </c>
      <c r="J189" t="s">
        <v>3</v>
      </c>
      <c r="K189" t="s">
        <v>450</v>
      </c>
      <c r="L189">
        <v>1191</v>
      </c>
      <c r="N189">
        <v>1013</v>
      </c>
      <c r="O189" t="s">
        <v>451</v>
      </c>
      <c r="P189" t="s">
        <v>451</v>
      </c>
      <c r="Q189">
        <v>1</v>
      </c>
      <c r="X189">
        <v>0.47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52</v>
      </c>
      <c r="AG189">
        <v>0.94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ROW(Source!A354)</f>
        <v>354</v>
      </c>
      <c r="B190">
        <v>1407492954</v>
      </c>
      <c r="C190">
        <v>1407492944</v>
      </c>
      <c r="D190">
        <v>1364552866</v>
      </c>
      <c r="E190">
        <v>1</v>
      </c>
      <c r="F190">
        <v>1</v>
      </c>
      <c r="G190">
        <v>39</v>
      </c>
      <c r="H190">
        <v>3</v>
      </c>
      <c r="I190" t="s">
        <v>488</v>
      </c>
      <c r="J190" t="s">
        <v>489</v>
      </c>
      <c r="K190" t="s">
        <v>490</v>
      </c>
      <c r="L190">
        <v>1346</v>
      </c>
      <c r="N190">
        <v>1009</v>
      </c>
      <c r="O190" t="s">
        <v>466</v>
      </c>
      <c r="P190" t="s">
        <v>466</v>
      </c>
      <c r="Q190">
        <v>1</v>
      </c>
      <c r="X190">
        <v>8.0000000000000002E-3</v>
      </c>
      <c r="Y190">
        <v>276.63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52</v>
      </c>
      <c r="AG190">
        <v>1.6E-2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ROW(Source!A354)</f>
        <v>354</v>
      </c>
      <c r="B191">
        <v>1407492955</v>
      </c>
      <c r="C191">
        <v>1407492944</v>
      </c>
      <c r="D191">
        <v>1364552913</v>
      </c>
      <c r="E191">
        <v>1</v>
      </c>
      <c r="F191">
        <v>1</v>
      </c>
      <c r="G191">
        <v>39</v>
      </c>
      <c r="H191">
        <v>3</v>
      </c>
      <c r="I191" t="s">
        <v>463</v>
      </c>
      <c r="J191" t="s">
        <v>464</v>
      </c>
      <c r="K191" t="s">
        <v>465</v>
      </c>
      <c r="L191">
        <v>1346</v>
      </c>
      <c r="N191">
        <v>1009</v>
      </c>
      <c r="O191" t="s">
        <v>466</v>
      </c>
      <c r="P191" t="s">
        <v>466</v>
      </c>
      <c r="Q191">
        <v>1</v>
      </c>
      <c r="X191">
        <v>0.5</v>
      </c>
      <c r="Y191">
        <v>26.09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52</v>
      </c>
      <c r="AG191">
        <v>1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ROW(Source!A354)</f>
        <v>354</v>
      </c>
      <c r="B192">
        <v>1407492956</v>
      </c>
      <c r="C192">
        <v>1407492944</v>
      </c>
      <c r="D192">
        <v>1364551394</v>
      </c>
      <c r="E192">
        <v>1</v>
      </c>
      <c r="F192">
        <v>1</v>
      </c>
      <c r="G192">
        <v>39</v>
      </c>
      <c r="H192">
        <v>3</v>
      </c>
      <c r="I192" t="s">
        <v>579</v>
      </c>
      <c r="J192" t="s">
        <v>580</v>
      </c>
      <c r="K192" t="s">
        <v>581</v>
      </c>
      <c r="L192">
        <v>1296</v>
      </c>
      <c r="N192">
        <v>1002</v>
      </c>
      <c r="O192" t="s">
        <v>480</v>
      </c>
      <c r="P192" t="s">
        <v>480</v>
      </c>
      <c r="Q192">
        <v>1</v>
      </c>
      <c r="X192">
        <v>0.01</v>
      </c>
      <c r="Y192">
        <v>102.47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52</v>
      </c>
      <c r="AG192">
        <v>0.02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ROW(Source!A355)</f>
        <v>355</v>
      </c>
      <c r="B193">
        <v>1407492964</v>
      </c>
      <c r="C193">
        <v>1407492957</v>
      </c>
      <c r="D193">
        <v>1364549319</v>
      </c>
      <c r="E193">
        <v>39</v>
      </c>
      <c r="F193">
        <v>1</v>
      </c>
      <c r="G193">
        <v>39</v>
      </c>
      <c r="H193">
        <v>1</v>
      </c>
      <c r="I193" t="s">
        <v>449</v>
      </c>
      <c r="J193" t="s">
        <v>3</v>
      </c>
      <c r="K193" t="s">
        <v>450</v>
      </c>
      <c r="L193">
        <v>1191</v>
      </c>
      <c r="N193">
        <v>1013</v>
      </c>
      <c r="O193" t="s">
        <v>451</v>
      </c>
      <c r="P193" t="s">
        <v>451</v>
      </c>
      <c r="Q193">
        <v>1</v>
      </c>
      <c r="X193">
        <v>12.5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52</v>
      </c>
      <c r="AG193">
        <v>25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ROW(Source!A355)</f>
        <v>355</v>
      </c>
      <c r="B194">
        <v>1407492965</v>
      </c>
      <c r="C194">
        <v>1407492957</v>
      </c>
      <c r="D194">
        <v>1364552913</v>
      </c>
      <c r="E194">
        <v>1</v>
      </c>
      <c r="F194">
        <v>1</v>
      </c>
      <c r="G194">
        <v>39</v>
      </c>
      <c r="H194">
        <v>3</v>
      </c>
      <c r="I194" t="s">
        <v>463</v>
      </c>
      <c r="J194" t="s">
        <v>464</v>
      </c>
      <c r="K194" t="s">
        <v>465</v>
      </c>
      <c r="L194">
        <v>1346</v>
      </c>
      <c r="N194">
        <v>1009</v>
      </c>
      <c r="O194" t="s">
        <v>466</v>
      </c>
      <c r="P194" t="s">
        <v>466</v>
      </c>
      <c r="Q194">
        <v>1</v>
      </c>
      <c r="X194">
        <v>0.2</v>
      </c>
      <c r="Y194">
        <v>26.09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52</v>
      </c>
      <c r="AG194">
        <v>0.4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ROW(Source!A355)</f>
        <v>355</v>
      </c>
      <c r="B195">
        <v>1407492966</v>
      </c>
      <c r="C195">
        <v>1407492957</v>
      </c>
      <c r="D195">
        <v>1364551380</v>
      </c>
      <c r="E195">
        <v>1</v>
      </c>
      <c r="F195">
        <v>1</v>
      </c>
      <c r="G195">
        <v>39</v>
      </c>
      <c r="H195">
        <v>3</v>
      </c>
      <c r="I195" t="s">
        <v>582</v>
      </c>
      <c r="J195" t="s">
        <v>583</v>
      </c>
      <c r="K195" t="s">
        <v>584</v>
      </c>
      <c r="L195">
        <v>1348</v>
      </c>
      <c r="N195">
        <v>1009</v>
      </c>
      <c r="O195" t="s">
        <v>487</v>
      </c>
      <c r="P195" t="s">
        <v>487</v>
      </c>
      <c r="Q195">
        <v>1000</v>
      </c>
      <c r="X195">
        <v>1.4999999999999999E-4</v>
      </c>
      <c r="Y195">
        <v>68764.41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52</v>
      </c>
      <c r="AG195">
        <v>2.9999999999999997E-4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ROW(Source!A356)</f>
        <v>356</v>
      </c>
      <c r="B196">
        <v>1407492970</v>
      </c>
      <c r="C196">
        <v>1407492967</v>
      </c>
      <c r="D196">
        <v>1364549319</v>
      </c>
      <c r="E196">
        <v>39</v>
      </c>
      <c r="F196">
        <v>1</v>
      </c>
      <c r="G196">
        <v>39</v>
      </c>
      <c r="H196">
        <v>1</v>
      </c>
      <c r="I196" t="s">
        <v>449</v>
      </c>
      <c r="J196" t="s">
        <v>3</v>
      </c>
      <c r="K196" t="s">
        <v>450</v>
      </c>
      <c r="L196">
        <v>1191</v>
      </c>
      <c r="N196">
        <v>1013</v>
      </c>
      <c r="O196" t="s">
        <v>451</v>
      </c>
      <c r="P196" t="s">
        <v>451</v>
      </c>
      <c r="Q196">
        <v>1</v>
      </c>
      <c r="X196">
        <v>0.7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1</v>
      </c>
      <c r="AF196" t="s">
        <v>3</v>
      </c>
      <c r="AG196">
        <v>0.7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ROW(Source!A357)</f>
        <v>357</v>
      </c>
      <c r="B197">
        <v>1407492974</v>
      </c>
      <c r="C197">
        <v>1407492971</v>
      </c>
      <c r="D197">
        <v>1364549319</v>
      </c>
      <c r="E197">
        <v>39</v>
      </c>
      <c r="F197">
        <v>1</v>
      </c>
      <c r="G197">
        <v>39</v>
      </c>
      <c r="H197">
        <v>1</v>
      </c>
      <c r="I197" t="s">
        <v>449</v>
      </c>
      <c r="J197" t="s">
        <v>3</v>
      </c>
      <c r="K197" t="s">
        <v>450</v>
      </c>
      <c r="L197">
        <v>1191</v>
      </c>
      <c r="N197">
        <v>1013</v>
      </c>
      <c r="O197" t="s">
        <v>451</v>
      </c>
      <c r="P197" t="s">
        <v>451</v>
      </c>
      <c r="Q197">
        <v>1</v>
      </c>
      <c r="X197">
        <v>1.06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52</v>
      </c>
      <c r="AG197">
        <v>2.12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ROW(Source!A358)</f>
        <v>358</v>
      </c>
      <c r="B198">
        <v>1407492994</v>
      </c>
      <c r="C198">
        <v>1407492975</v>
      </c>
      <c r="D198">
        <v>1364549319</v>
      </c>
      <c r="E198">
        <v>39</v>
      </c>
      <c r="F198">
        <v>1</v>
      </c>
      <c r="G198">
        <v>39</v>
      </c>
      <c r="H198">
        <v>1</v>
      </c>
      <c r="I198" t="s">
        <v>449</v>
      </c>
      <c r="J198" t="s">
        <v>3</v>
      </c>
      <c r="K198" t="s">
        <v>450</v>
      </c>
      <c r="L198">
        <v>1191</v>
      </c>
      <c r="N198">
        <v>1013</v>
      </c>
      <c r="O198" t="s">
        <v>451</v>
      </c>
      <c r="P198" t="s">
        <v>451</v>
      </c>
      <c r="Q198">
        <v>1</v>
      </c>
      <c r="X198">
        <v>15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3</v>
      </c>
      <c r="AG198">
        <v>15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ROW(Source!A358)</f>
        <v>358</v>
      </c>
      <c r="B199">
        <v>1407492995</v>
      </c>
      <c r="C199">
        <v>1407492975</v>
      </c>
      <c r="D199">
        <v>1364550679</v>
      </c>
      <c r="E199">
        <v>1</v>
      </c>
      <c r="F199">
        <v>1</v>
      </c>
      <c r="G199">
        <v>39</v>
      </c>
      <c r="H199">
        <v>2</v>
      </c>
      <c r="I199" t="s">
        <v>585</v>
      </c>
      <c r="J199" t="s">
        <v>586</v>
      </c>
      <c r="K199" t="s">
        <v>587</v>
      </c>
      <c r="L199">
        <v>1368</v>
      </c>
      <c r="N199">
        <v>1011</v>
      </c>
      <c r="O199" t="s">
        <v>455</v>
      </c>
      <c r="P199" t="s">
        <v>455</v>
      </c>
      <c r="Q199">
        <v>1</v>
      </c>
      <c r="X199">
        <v>0.5</v>
      </c>
      <c r="Y199">
        <v>0</v>
      </c>
      <c r="Z199">
        <v>66.94</v>
      </c>
      <c r="AA199">
        <v>0.4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0.5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ROW(Source!A358)</f>
        <v>358</v>
      </c>
      <c r="B200">
        <v>1407492996</v>
      </c>
      <c r="C200">
        <v>1407492975</v>
      </c>
      <c r="D200">
        <v>1364552184</v>
      </c>
      <c r="E200">
        <v>1</v>
      </c>
      <c r="F200">
        <v>1</v>
      </c>
      <c r="G200">
        <v>39</v>
      </c>
      <c r="H200">
        <v>3</v>
      </c>
      <c r="I200" t="s">
        <v>535</v>
      </c>
      <c r="J200" t="s">
        <v>536</v>
      </c>
      <c r="K200" t="s">
        <v>537</v>
      </c>
      <c r="L200">
        <v>1348</v>
      </c>
      <c r="N200">
        <v>1009</v>
      </c>
      <c r="O200" t="s">
        <v>487</v>
      </c>
      <c r="P200" t="s">
        <v>487</v>
      </c>
      <c r="Q200">
        <v>1000</v>
      </c>
      <c r="X200">
        <v>1E-3</v>
      </c>
      <c r="Y200">
        <v>150966.31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1E-3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ROW(Source!A358)</f>
        <v>358</v>
      </c>
      <c r="B201">
        <v>1407492997</v>
      </c>
      <c r="C201">
        <v>1407492975</v>
      </c>
      <c r="D201">
        <v>1364553003</v>
      </c>
      <c r="E201">
        <v>1</v>
      </c>
      <c r="F201">
        <v>1</v>
      </c>
      <c r="G201">
        <v>39</v>
      </c>
      <c r="H201">
        <v>3</v>
      </c>
      <c r="I201" t="s">
        <v>558</v>
      </c>
      <c r="J201" t="s">
        <v>559</v>
      </c>
      <c r="K201" t="s">
        <v>560</v>
      </c>
      <c r="L201">
        <v>1348</v>
      </c>
      <c r="N201">
        <v>1009</v>
      </c>
      <c r="O201" t="s">
        <v>487</v>
      </c>
      <c r="P201" t="s">
        <v>487</v>
      </c>
      <c r="Q201">
        <v>1000</v>
      </c>
      <c r="X201">
        <v>5.0000000000000001E-4</v>
      </c>
      <c r="Y201">
        <v>126030.08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5.0000000000000001E-4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ROW(Source!A358)</f>
        <v>358</v>
      </c>
      <c r="B202">
        <v>1407493000</v>
      </c>
      <c r="C202">
        <v>1407492975</v>
      </c>
      <c r="D202">
        <v>1364557713</v>
      </c>
      <c r="E202">
        <v>1</v>
      </c>
      <c r="F202">
        <v>1</v>
      </c>
      <c r="G202">
        <v>39</v>
      </c>
      <c r="H202">
        <v>3</v>
      </c>
      <c r="I202" t="s">
        <v>588</v>
      </c>
      <c r="J202" t="s">
        <v>589</v>
      </c>
      <c r="K202" t="s">
        <v>590</v>
      </c>
      <c r="L202">
        <v>1301</v>
      </c>
      <c r="N202">
        <v>1003</v>
      </c>
      <c r="O202" t="s">
        <v>591</v>
      </c>
      <c r="P202" t="s">
        <v>591</v>
      </c>
      <c r="Q202">
        <v>1</v>
      </c>
      <c r="X202">
        <v>0.1</v>
      </c>
      <c r="Y202">
        <v>425.84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0.1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ROW(Source!A358)</f>
        <v>358</v>
      </c>
      <c r="B203">
        <v>1407493001</v>
      </c>
      <c r="C203">
        <v>1407492975</v>
      </c>
      <c r="D203">
        <v>1364557998</v>
      </c>
      <c r="E203">
        <v>1</v>
      </c>
      <c r="F203">
        <v>1</v>
      </c>
      <c r="G203">
        <v>39</v>
      </c>
      <c r="H203">
        <v>3</v>
      </c>
      <c r="I203" t="s">
        <v>592</v>
      </c>
      <c r="J203" t="s">
        <v>593</v>
      </c>
      <c r="K203" t="s">
        <v>594</v>
      </c>
      <c r="L203">
        <v>1354</v>
      </c>
      <c r="N203">
        <v>16987630</v>
      </c>
      <c r="O203" t="s">
        <v>42</v>
      </c>
      <c r="P203" t="s">
        <v>42</v>
      </c>
      <c r="Q203">
        <v>1</v>
      </c>
      <c r="X203">
        <v>0.8</v>
      </c>
      <c r="Y203">
        <v>819.01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0.8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ROW(Source!A358)</f>
        <v>358</v>
      </c>
      <c r="B204">
        <v>1407492998</v>
      </c>
      <c r="C204">
        <v>1407492975</v>
      </c>
      <c r="D204">
        <v>1364551386</v>
      </c>
      <c r="E204">
        <v>1</v>
      </c>
      <c r="F204">
        <v>1</v>
      </c>
      <c r="G204">
        <v>39</v>
      </c>
      <c r="H204">
        <v>3</v>
      </c>
      <c r="I204" t="s">
        <v>550</v>
      </c>
      <c r="J204" t="s">
        <v>551</v>
      </c>
      <c r="K204" t="s">
        <v>552</v>
      </c>
      <c r="L204">
        <v>1348</v>
      </c>
      <c r="N204">
        <v>1009</v>
      </c>
      <c r="O204" t="s">
        <v>487</v>
      </c>
      <c r="P204" t="s">
        <v>487</v>
      </c>
      <c r="Q204">
        <v>1000</v>
      </c>
      <c r="X204">
        <v>4.0999999999999999E-4</v>
      </c>
      <c r="Y204">
        <v>130618.52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4.0999999999999999E-4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ROW(Source!A358)</f>
        <v>358</v>
      </c>
      <c r="B205">
        <v>1407492999</v>
      </c>
      <c r="C205">
        <v>1407492975</v>
      </c>
      <c r="D205">
        <v>1364551585</v>
      </c>
      <c r="E205">
        <v>1</v>
      </c>
      <c r="F205">
        <v>1</v>
      </c>
      <c r="G205">
        <v>39</v>
      </c>
      <c r="H205">
        <v>3</v>
      </c>
      <c r="I205" t="s">
        <v>570</v>
      </c>
      <c r="J205" t="s">
        <v>571</v>
      </c>
      <c r="K205" t="s">
        <v>572</v>
      </c>
      <c r="L205">
        <v>1348</v>
      </c>
      <c r="N205">
        <v>1009</v>
      </c>
      <c r="O205" t="s">
        <v>487</v>
      </c>
      <c r="P205" t="s">
        <v>487</v>
      </c>
      <c r="Q205">
        <v>1000</v>
      </c>
      <c r="X205">
        <v>5.0000000000000001E-4</v>
      </c>
      <c r="Y205">
        <v>100589.66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5.0000000000000001E-4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ROW(Source!A358)</f>
        <v>358</v>
      </c>
      <c r="B206">
        <v>1407493002</v>
      </c>
      <c r="C206">
        <v>1407492975</v>
      </c>
      <c r="D206">
        <v>1364559406</v>
      </c>
      <c r="E206">
        <v>1</v>
      </c>
      <c r="F206">
        <v>1</v>
      </c>
      <c r="G206">
        <v>39</v>
      </c>
      <c r="H206">
        <v>3</v>
      </c>
      <c r="I206" t="s">
        <v>595</v>
      </c>
      <c r="J206" t="s">
        <v>596</v>
      </c>
      <c r="K206" t="s">
        <v>597</v>
      </c>
      <c r="L206">
        <v>1348</v>
      </c>
      <c r="N206">
        <v>1009</v>
      </c>
      <c r="O206" t="s">
        <v>487</v>
      </c>
      <c r="P206" t="s">
        <v>487</v>
      </c>
      <c r="Q206">
        <v>1000</v>
      </c>
      <c r="X206">
        <v>2E-3</v>
      </c>
      <c r="Y206">
        <v>135898.35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2E-3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ROW(Source!A394)</f>
        <v>394</v>
      </c>
      <c r="B207">
        <v>1407493008</v>
      </c>
      <c r="C207">
        <v>1407493003</v>
      </c>
      <c r="D207">
        <v>1364549319</v>
      </c>
      <c r="E207">
        <v>39</v>
      </c>
      <c r="F207">
        <v>1</v>
      </c>
      <c r="G207">
        <v>39</v>
      </c>
      <c r="H207">
        <v>1</v>
      </c>
      <c r="I207" t="s">
        <v>449</v>
      </c>
      <c r="J207" t="s">
        <v>3</v>
      </c>
      <c r="K207" t="s">
        <v>450</v>
      </c>
      <c r="L207">
        <v>1191</v>
      </c>
      <c r="N207">
        <v>1013</v>
      </c>
      <c r="O207" t="s">
        <v>451</v>
      </c>
      <c r="P207" t="s">
        <v>451</v>
      </c>
      <c r="Q207">
        <v>1</v>
      </c>
      <c r="X207">
        <v>0.3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20</v>
      </c>
      <c r="AG207">
        <v>1.2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ROW(Source!A394)</f>
        <v>394</v>
      </c>
      <c r="B208">
        <v>1407493009</v>
      </c>
      <c r="C208">
        <v>1407493003</v>
      </c>
      <c r="D208">
        <v>1364552913</v>
      </c>
      <c r="E208">
        <v>1</v>
      </c>
      <c r="F208">
        <v>1</v>
      </c>
      <c r="G208">
        <v>39</v>
      </c>
      <c r="H208">
        <v>3</v>
      </c>
      <c r="I208" t="s">
        <v>463</v>
      </c>
      <c r="J208" t="s">
        <v>464</v>
      </c>
      <c r="K208" t="s">
        <v>465</v>
      </c>
      <c r="L208">
        <v>1346</v>
      </c>
      <c r="N208">
        <v>1009</v>
      </c>
      <c r="O208" t="s">
        <v>466</v>
      </c>
      <c r="P208" t="s">
        <v>466</v>
      </c>
      <c r="Q208">
        <v>1</v>
      </c>
      <c r="X208">
        <v>5.0000000000000001E-4</v>
      </c>
      <c r="Y208">
        <v>26.09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20</v>
      </c>
      <c r="AG208">
        <v>2E-3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ROW(Source!A395)</f>
        <v>395</v>
      </c>
      <c r="B209">
        <v>1407493019</v>
      </c>
      <c r="C209">
        <v>1407493010</v>
      </c>
      <c r="D209">
        <v>1364549319</v>
      </c>
      <c r="E209">
        <v>39</v>
      </c>
      <c r="F209">
        <v>1</v>
      </c>
      <c r="G209">
        <v>39</v>
      </c>
      <c r="H209">
        <v>1</v>
      </c>
      <c r="I209" t="s">
        <v>449</v>
      </c>
      <c r="J209" t="s">
        <v>3</v>
      </c>
      <c r="K209" t="s">
        <v>450</v>
      </c>
      <c r="L209">
        <v>1191</v>
      </c>
      <c r="N209">
        <v>1013</v>
      </c>
      <c r="O209" t="s">
        <v>451</v>
      </c>
      <c r="P209" t="s">
        <v>451</v>
      </c>
      <c r="Q209">
        <v>1</v>
      </c>
      <c r="X209">
        <v>0.05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69</v>
      </c>
      <c r="AG209">
        <v>0.15000000000000002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ROW(Source!A395)</f>
        <v>395</v>
      </c>
      <c r="B210">
        <v>1407493022</v>
      </c>
      <c r="C210">
        <v>1407493010</v>
      </c>
      <c r="D210">
        <v>1364552915</v>
      </c>
      <c r="E210">
        <v>1</v>
      </c>
      <c r="F210">
        <v>1</v>
      </c>
      <c r="G210">
        <v>39</v>
      </c>
      <c r="H210">
        <v>3</v>
      </c>
      <c r="I210" t="s">
        <v>522</v>
      </c>
      <c r="J210" t="s">
        <v>523</v>
      </c>
      <c r="K210" t="s">
        <v>524</v>
      </c>
      <c r="L210">
        <v>1346</v>
      </c>
      <c r="N210">
        <v>1009</v>
      </c>
      <c r="O210" t="s">
        <v>466</v>
      </c>
      <c r="P210" t="s">
        <v>466</v>
      </c>
      <c r="Q210">
        <v>1</v>
      </c>
      <c r="X210">
        <v>3.0000000000000001E-3</v>
      </c>
      <c r="Y210">
        <v>350.97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69</v>
      </c>
      <c r="AG210">
        <v>9.0000000000000011E-3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ROW(Source!A395)</f>
        <v>395</v>
      </c>
      <c r="B211">
        <v>1407493020</v>
      </c>
      <c r="C211">
        <v>1407493010</v>
      </c>
      <c r="D211">
        <v>1364549377</v>
      </c>
      <c r="E211">
        <v>39</v>
      </c>
      <c r="F211">
        <v>1</v>
      </c>
      <c r="G211">
        <v>39</v>
      </c>
      <c r="H211">
        <v>3</v>
      </c>
      <c r="I211" t="s">
        <v>582</v>
      </c>
      <c r="J211" t="s">
        <v>3</v>
      </c>
      <c r="K211" t="s">
        <v>584</v>
      </c>
      <c r="L211">
        <v>1346</v>
      </c>
      <c r="N211">
        <v>1009</v>
      </c>
      <c r="O211" t="s">
        <v>466</v>
      </c>
      <c r="P211" t="s">
        <v>466</v>
      </c>
      <c r="Q211">
        <v>1</v>
      </c>
      <c r="X211">
        <v>2E-3</v>
      </c>
      <c r="Y211">
        <v>68.764409999999998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69</v>
      </c>
      <c r="AG211">
        <v>6.0000000000000001E-3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ROW(Source!A395)</f>
        <v>395</v>
      </c>
      <c r="B212">
        <v>1407493021</v>
      </c>
      <c r="C212">
        <v>1407493010</v>
      </c>
      <c r="D212">
        <v>1364549408</v>
      </c>
      <c r="E212">
        <v>39</v>
      </c>
      <c r="F212">
        <v>1</v>
      </c>
      <c r="G212">
        <v>39</v>
      </c>
      <c r="H212">
        <v>3</v>
      </c>
      <c r="I212" t="s">
        <v>550</v>
      </c>
      <c r="J212" t="s">
        <v>3</v>
      </c>
      <c r="K212" t="s">
        <v>552</v>
      </c>
      <c r="L212">
        <v>1346</v>
      </c>
      <c r="N212">
        <v>1009</v>
      </c>
      <c r="O212" t="s">
        <v>466</v>
      </c>
      <c r="P212" t="s">
        <v>466</v>
      </c>
      <c r="Q212">
        <v>1</v>
      </c>
      <c r="X212">
        <v>2E-3</v>
      </c>
      <c r="Y212">
        <v>130.61851999999999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69</v>
      </c>
      <c r="AG212">
        <v>6.0000000000000001E-3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ROW(Source!A396)</f>
        <v>396</v>
      </c>
      <c r="B213">
        <v>1407493036</v>
      </c>
      <c r="C213">
        <v>1407493023</v>
      </c>
      <c r="D213">
        <v>1364549319</v>
      </c>
      <c r="E213">
        <v>39</v>
      </c>
      <c r="F213">
        <v>1</v>
      </c>
      <c r="G213">
        <v>39</v>
      </c>
      <c r="H213">
        <v>1</v>
      </c>
      <c r="I213" t="s">
        <v>449</v>
      </c>
      <c r="J213" t="s">
        <v>3</v>
      </c>
      <c r="K213" t="s">
        <v>450</v>
      </c>
      <c r="L213">
        <v>1191</v>
      </c>
      <c r="N213">
        <v>1013</v>
      </c>
      <c r="O213" t="s">
        <v>451</v>
      </c>
      <c r="P213" t="s">
        <v>451</v>
      </c>
      <c r="Q213">
        <v>1</v>
      </c>
      <c r="X213">
        <v>1.5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1</v>
      </c>
      <c r="AF213" t="s">
        <v>3</v>
      </c>
      <c r="AG213">
        <v>1.5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ROW(Source!A396)</f>
        <v>396</v>
      </c>
      <c r="B214">
        <v>1407493039</v>
      </c>
      <c r="C214">
        <v>1407493023</v>
      </c>
      <c r="D214">
        <v>1364552915</v>
      </c>
      <c r="E214">
        <v>1</v>
      </c>
      <c r="F214">
        <v>1</v>
      </c>
      <c r="G214">
        <v>39</v>
      </c>
      <c r="H214">
        <v>3</v>
      </c>
      <c r="I214" t="s">
        <v>522</v>
      </c>
      <c r="J214" t="s">
        <v>523</v>
      </c>
      <c r="K214" t="s">
        <v>524</v>
      </c>
      <c r="L214">
        <v>1346</v>
      </c>
      <c r="N214">
        <v>1009</v>
      </c>
      <c r="O214" t="s">
        <v>466</v>
      </c>
      <c r="P214" t="s">
        <v>466</v>
      </c>
      <c r="Q214">
        <v>1</v>
      </c>
      <c r="X214">
        <v>0.03</v>
      </c>
      <c r="Y214">
        <v>350.97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0.03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ROW(Source!A396)</f>
        <v>396</v>
      </c>
      <c r="B215">
        <v>1407493040</v>
      </c>
      <c r="C215">
        <v>1407493023</v>
      </c>
      <c r="D215">
        <v>1364552913</v>
      </c>
      <c r="E215">
        <v>1</v>
      </c>
      <c r="F215">
        <v>1</v>
      </c>
      <c r="G215">
        <v>39</v>
      </c>
      <c r="H215">
        <v>3</v>
      </c>
      <c r="I215" t="s">
        <v>463</v>
      </c>
      <c r="J215" t="s">
        <v>464</v>
      </c>
      <c r="K215" t="s">
        <v>465</v>
      </c>
      <c r="L215">
        <v>1346</v>
      </c>
      <c r="N215">
        <v>1009</v>
      </c>
      <c r="O215" t="s">
        <v>466</v>
      </c>
      <c r="P215" t="s">
        <v>466</v>
      </c>
      <c r="Q215">
        <v>1</v>
      </c>
      <c r="X215">
        <v>8.9999999999999993E-3</v>
      </c>
      <c r="Y215">
        <v>26.09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8.9999999999999993E-3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ROW(Source!A396)</f>
        <v>396</v>
      </c>
      <c r="B216">
        <v>1407493037</v>
      </c>
      <c r="C216">
        <v>1407493023</v>
      </c>
      <c r="D216">
        <v>1364549377</v>
      </c>
      <c r="E216">
        <v>39</v>
      </c>
      <c r="F216">
        <v>1</v>
      </c>
      <c r="G216">
        <v>39</v>
      </c>
      <c r="H216">
        <v>3</v>
      </c>
      <c r="I216" t="s">
        <v>582</v>
      </c>
      <c r="J216" t="s">
        <v>3</v>
      </c>
      <c r="K216" t="s">
        <v>584</v>
      </c>
      <c r="L216">
        <v>1346</v>
      </c>
      <c r="N216">
        <v>1009</v>
      </c>
      <c r="O216" t="s">
        <v>466</v>
      </c>
      <c r="P216" t="s">
        <v>466</v>
      </c>
      <c r="Q216">
        <v>1</v>
      </c>
      <c r="X216">
        <v>2.3E-2</v>
      </c>
      <c r="Y216">
        <v>68.764409999999998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2.3E-2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ROW(Source!A396)</f>
        <v>396</v>
      </c>
      <c r="B217">
        <v>1407493038</v>
      </c>
      <c r="C217">
        <v>1407493023</v>
      </c>
      <c r="D217">
        <v>1364549408</v>
      </c>
      <c r="E217">
        <v>39</v>
      </c>
      <c r="F217">
        <v>1</v>
      </c>
      <c r="G217">
        <v>39</v>
      </c>
      <c r="H217">
        <v>3</v>
      </c>
      <c r="I217" t="s">
        <v>550</v>
      </c>
      <c r="J217" t="s">
        <v>3</v>
      </c>
      <c r="K217" t="s">
        <v>552</v>
      </c>
      <c r="L217">
        <v>1346</v>
      </c>
      <c r="N217">
        <v>1009</v>
      </c>
      <c r="O217" t="s">
        <v>466</v>
      </c>
      <c r="P217" t="s">
        <v>466</v>
      </c>
      <c r="Q217">
        <v>1</v>
      </c>
      <c r="X217">
        <v>2.3E-2</v>
      </c>
      <c r="Y217">
        <v>130.61851999999999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2.3E-2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ROW(Source!A396)</f>
        <v>396</v>
      </c>
      <c r="B218">
        <v>1407493041</v>
      </c>
      <c r="C218">
        <v>1407493023</v>
      </c>
      <c r="D218">
        <v>1364549637</v>
      </c>
      <c r="E218">
        <v>39</v>
      </c>
      <c r="F218">
        <v>1</v>
      </c>
      <c r="G218">
        <v>39</v>
      </c>
      <c r="H218">
        <v>3</v>
      </c>
      <c r="I218" t="s">
        <v>570</v>
      </c>
      <c r="J218" t="s">
        <v>3</v>
      </c>
      <c r="K218" t="s">
        <v>572</v>
      </c>
      <c r="L218">
        <v>1346</v>
      </c>
      <c r="N218">
        <v>1009</v>
      </c>
      <c r="O218" t="s">
        <v>466</v>
      </c>
      <c r="P218" t="s">
        <v>466</v>
      </c>
      <c r="Q218">
        <v>1</v>
      </c>
      <c r="X218">
        <v>8.9999999999999993E-3</v>
      </c>
      <c r="Y218">
        <v>100.58965999999999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8.9999999999999993E-3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ROW(Source!A397)</f>
        <v>397</v>
      </c>
      <c r="B219">
        <v>1407493047</v>
      </c>
      <c r="C219">
        <v>1407493042</v>
      </c>
      <c r="D219">
        <v>1364549319</v>
      </c>
      <c r="E219">
        <v>39</v>
      </c>
      <c r="F219">
        <v>1</v>
      </c>
      <c r="G219">
        <v>39</v>
      </c>
      <c r="H219">
        <v>1</v>
      </c>
      <c r="I219" t="s">
        <v>449</v>
      </c>
      <c r="J219" t="s">
        <v>3</v>
      </c>
      <c r="K219" t="s">
        <v>450</v>
      </c>
      <c r="L219">
        <v>1191</v>
      </c>
      <c r="N219">
        <v>1013</v>
      </c>
      <c r="O219" t="s">
        <v>451</v>
      </c>
      <c r="P219" t="s">
        <v>451</v>
      </c>
      <c r="Q219">
        <v>1</v>
      </c>
      <c r="X219">
        <v>0.04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69</v>
      </c>
      <c r="AG219">
        <v>0.12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ROW(Source!A397)</f>
        <v>397</v>
      </c>
      <c r="B220">
        <v>1407493048</v>
      </c>
      <c r="C220">
        <v>1407493042</v>
      </c>
      <c r="D220">
        <v>1364552913</v>
      </c>
      <c r="E220">
        <v>1</v>
      </c>
      <c r="F220">
        <v>1</v>
      </c>
      <c r="G220">
        <v>39</v>
      </c>
      <c r="H220">
        <v>3</v>
      </c>
      <c r="I220" t="s">
        <v>463</v>
      </c>
      <c r="J220" t="s">
        <v>464</v>
      </c>
      <c r="K220" t="s">
        <v>465</v>
      </c>
      <c r="L220">
        <v>1346</v>
      </c>
      <c r="N220">
        <v>1009</v>
      </c>
      <c r="O220" t="s">
        <v>466</v>
      </c>
      <c r="P220" t="s">
        <v>466</v>
      </c>
      <c r="Q220">
        <v>1</v>
      </c>
      <c r="X220">
        <v>2.0000000000000001E-4</v>
      </c>
      <c r="Y220">
        <v>26.09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69</v>
      </c>
      <c r="AG220">
        <v>6.0000000000000006E-4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ROW(Source!A398)</f>
        <v>398</v>
      </c>
      <c r="B221">
        <v>1407493056</v>
      </c>
      <c r="C221">
        <v>1407493049</v>
      </c>
      <c r="D221">
        <v>1364549319</v>
      </c>
      <c r="E221">
        <v>39</v>
      </c>
      <c r="F221">
        <v>1</v>
      </c>
      <c r="G221">
        <v>39</v>
      </c>
      <c r="H221">
        <v>1</v>
      </c>
      <c r="I221" t="s">
        <v>449</v>
      </c>
      <c r="J221" t="s">
        <v>3</v>
      </c>
      <c r="K221" t="s">
        <v>450</v>
      </c>
      <c r="L221">
        <v>1191</v>
      </c>
      <c r="N221">
        <v>1013</v>
      </c>
      <c r="O221" t="s">
        <v>451</v>
      </c>
      <c r="P221" t="s">
        <v>451</v>
      </c>
      <c r="Q221">
        <v>1</v>
      </c>
      <c r="X221">
        <v>1.2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1.2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ROW(Source!A398)</f>
        <v>398</v>
      </c>
      <c r="B222">
        <v>1407493057</v>
      </c>
      <c r="C222">
        <v>1407493049</v>
      </c>
      <c r="D222">
        <v>1364552913</v>
      </c>
      <c r="E222">
        <v>1</v>
      </c>
      <c r="F222">
        <v>1</v>
      </c>
      <c r="G222">
        <v>39</v>
      </c>
      <c r="H222">
        <v>3</v>
      </c>
      <c r="I222" t="s">
        <v>463</v>
      </c>
      <c r="J222" t="s">
        <v>464</v>
      </c>
      <c r="K222" t="s">
        <v>465</v>
      </c>
      <c r="L222">
        <v>1346</v>
      </c>
      <c r="N222">
        <v>1009</v>
      </c>
      <c r="O222" t="s">
        <v>466</v>
      </c>
      <c r="P222" t="s">
        <v>466</v>
      </c>
      <c r="Q222">
        <v>1</v>
      </c>
      <c r="X222">
        <v>7.0000000000000001E-3</v>
      </c>
      <c r="Y222">
        <v>26.09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7.0000000000000001E-3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ROW(Source!A398)</f>
        <v>398</v>
      </c>
      <c r="B223">
        <v>1407493058</v>
      </c>
      <c r="C223">
        <v>1407493049</v>
      </c>
      <c r="D223">
        <v>1364551380</v>
      </c>
      <c r="E223">
        <v>1</v>
      </c>
      <c r="F223">
        <v>1</v>
      </c>
      <c r="G223">
        <v>39</v>
      </c>
      <c r="H223">
        <v>3</v>
      </c>
      <c r="I223" t="s">
        <v>582</v>
      </c>
      <c r="J223" t="s">
        <v>583</v>
      </c>
      <c r="K223" t="s">
        <v>584</v>
      </c>
      <c r="L223">
        <v>1348</v>
      </c>
      <c r="N223">
        <v>1009</v>
      </c>
      <c r="O223" t="s">
        <v>487</v>
      </c>
      <c r="P223" t="s">
        <v>487</v>
      </c>
      <c r="Q223">
        <v>1000</v>
      </c>
      <c r="X223">
        <v>2.0000000000000002E-5</v>
      </c>
      <c r="Y223">
        <v>68764.41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2.0000000000000002E-5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ROW(Source!A399)</f>
        <v>399</v>
      </c>
      <c r="B224">
        <v>1407493062</v>
      </c>
      <c r="C224">
        <v>1407493059</v>
      </c>
      <c r="D224">
        <v>1364549319</v>
      </c>
      <c r="E224">
        <v>39</v>
      </c>
      <c r="F224">
        <v>1</v>
      </c>
      <c r="G224">
        <v>39</v>
      </c>
      <c r="H224">
        <v>1</v>
      </c>
      <c r="I224" t="s">
        <v>449</v>
      </c>
      <c r="J224" t="s">
        <v>3</v>
      </c>
      <c r="K224" t="s">
        <v>450</v>
      </c>
      <c r="L224">
        <v>1191</v>
      </c>
      <c r="N224">
        <v>1013</v>
      </c>
      <c r="O224" t="s">
        <v>451</v>
      </c>
      <c r="P224" t="s">
        <v>451</v>
      </c>
      <c r="Q224">
        <v>1</v>
      </c>
      <c r="X224">
        <v>0.02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201</v>
      </c>
      <c r="AG224">
        <v>2.36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ROW(Source!A400)</f>
        <v>400</v>
      </c>
      <c r="B225">
        <v>1407493070</v>
      </c>
      <c r="C225">
        <v>1407493063</v>
      </c>
      <c r="D225">
        <v>1364549319</v>
      </c>
      <c r="E225">
        <v>39</v>
      </c>
      <c r="F225">
        <v>1</v>
      </c>
      <c r="G225">
        <v>39</v>
      </c>
      <c r="H225">
        <v>1</v>
      </c>
      <c r="I225" t="s">
        <v>449</v>
      </c>
      <c r="J225" t="s">
        <v>3</v>
      </c>
      <c r="K225" t="s">
        <v>450</v>
      </c>
      <c r="L225">
        <v>1191</v>
      </c>
      <c r="N225">
        <v>1013</v>
      </c>
      <c r="O225" t="s">
        <v>451</v>
      </c>
      <c r="P225" t="s">
        <v>451</v>
      </c>
      <c r="Q225">
        <v>1</v>
      </c>
      <c r="X225">
        <v>0.44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1</v>
      </c>
      <c r="AF225" t="s">
        <v>3</v>
      </c>
      <c r="AG225">
        <v>0.44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ROW(Source!A400)</f>
        <v>400</v>
      </c>
      <c r="B226">
        <v>1407493071</v>
      </c>
      <c r="C226">
        <v>1407493063</v>
      </c>
      <c r="D226">
        <v>1364552913</v>
      </c>
      <c r="E226">
        <v>1</v>
      </c>
      <c r="F226">
        <v>1</v>
      </c>
      <c r="G226">
        <v>39</v>
      </c>
      <c r="H226">
        <v>3</v>
      </c>
      <c r="I226" t="s">
        <v>463</v>
      </c>
      <c r="J226" t="s">
        <v>464</v>
      </c>
      <c r="K226" t="s">
        <v>465</v>
      </c>
      <c r="L226">
        <v>1346</v>
      </c>
      <c r="N226">
        <v>1009</v>
      </c>
      <c r="O226" t="s">
        <v>466</v>
      </c>
      <c r="P226" t="s">
        <v>466</v>
      </c>
      <c r="Q226">
        <v>1</v>
      </c>
      <c r="X226">
        <v>0.03</v>
      </c>
      <c r="Y226">
        <v>26.09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0.03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ROW(Source!A400)</f>
        <v>400</v>
      </c>
      <c r="B227">
        <v>1407493072</v>
      </c>
      <c r="C227">
        <v>1407493063</v>
      </c>
      <c r="D227">
        <v>1364554007</v>
      </c>
      <c r="E227">
        <v>1</v>
      </c>
      <c r="F227">
        <v>1</v>
      </c>
      <c r="G227">
        <v>39</v>
      </c>
      <c r="H227">
        <v>3</v>
      </c>
      <c r="I227" t="s">
        <v>525</v>
      </c>
      <c r="J227" t="s">
        <v>526</v>
      </c>
      <c r="K227" t="s">
        <v>527</v>
      </c>
      <c r="L227">
        <v>1296</v>
      </c>
      <c r="N227">
        <v>1002</v>
      </c>
      <c r="O227" t="s">
        <v>480</v>
      </c>
      <c r="P227" t="s">
        <v>480</v>
      </c>
      <c r="Q227">
        <v>1</v>
      </c>
      <c r="X227">
        <v>0.02</v>
      </c>
      <c r="Y227">
        <v>153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0.02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ROW(Source!A401)</f>
        <v>401</v>
      </c>
      <c r="B228">
        <v>1407493080</v>
      </c>
      <c r="C228">
        <v>1407493073</v>
      </c>
      <c r="D228">
        <v>1364549319</v>
      </c>
      <c r="E228">
        <v>39</v>
      </c>
      <c r="F228">
        <v>1</v>
      </c>
      <c r="G228">
        <v>39</v>
      </c>
      <c r="H228">
        <v>1</v>
      </c>
      <c r="I228" t="s">
        <v>449</v>
      </c>
      <c r="J228" t="s">
        <v>3</v>
      </c>
      <c r="K228" t="s">
        <v>450</v>
      </c>
      <c r="L228">
        <v>1191</v>
      </c>
      <c r="N228">
        <v>1013</v>
      </c>
      <c r="O228" t="s">
        <v>451</v>
      </c>
      <c r="P228" t="s">
        <v>451</v>
      </c>
      <c r="Q228">
        <v>1</v>
      </c>
      <c r="X228">
        <v>0.6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52</v>
      </c>
      <c r="AG228">
        <v>1.2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ROW(Source!A401)</f>
        <v>401</v>
      </c>
      <c r="B229">
        <v>1407493081</v>
      </c>
      <c r="C229">
        <v>1407493073</v>
      </c>
      <c r="D229">
        <v>1364552913</v>
      </c>
      <c r="E229">
        <v>1</v>
      </c>
      <c r="F229">
        <v>1</v>
      </c>
      <c r="G229">
        <v>39</v>
      </c>
      <c r="H229">
        <v>3</v>
      </c>
      <c r="I229" t="s">
        <v>463</v>
      </c>
      <c r="J229" t="s">
        <v>464</v>
      </c>
      <c r="K229" t="s">
        <v>465</v>
      </c>
      <c r="L229">
        <v>1346</v>
      </c>
      <c r="N229">
        <v>1009</v>
      </c>
      <c r="O229" t="s">
        <v>466</v>
      </c>
      <c r="P229" t="s">
        <v>466</v>
      </c>
      <c r="Q229">
        <v>1</v>
      </c>
      <c r="X229">
        <v>4.0000000000000001E-3</v>
      </c>
      <c r="Y229">
        <v>26.09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52</v>
      </c>
      <c r="AG229">
        <v>8.0000000000000002E-3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ROW(Source!A401)</f>
        <v>401</v>
      </c>
      <c r="B230">
        <v>1407493082</v>
      </c>
      <c r="C230">
        <v>1407493073</v>
      </c>
      <c r="D230">
        <v>1364551380</v>
      </c>
      <c r="E230">
        <v>1</v>
      </c>
      <c r="F230">
        <v>1</v>
      </c>
      <c r="G230">
        <v>39</v>
      </c>
      <c r="H230">
        <v>3</v>
      </c>
      <c r="I230" t="s">
        <v>582</v>
      </c>
      <c r="J230" t="s">
        <v>583</v>
      </c>
      <c r="K230" t="s">
        <v>584</v>
      </c>
      <c r="L230">
        <v>1348</v>
      </c>
      <c r="N230">
        <v>1009</v>
      </c>
      <c r="O230" t="s">
        <v>487</v>
      </c>
      <c r="P230" t="s">
        <v>487</v>
      </c>
      <c r="Q230">
        <v>1000</v>
      </c>
      <c r="X230">
        <v>1.0000000000000001E-5</v>
      </c>
      <c r="Y230">
        <v>68764.41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52</v>
      </c>
      <c r="AG230">
        <v>2.0000000000000002E-5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ROW(Source!A402)</f>
        <v>402</v>
      </c>
      <c r="B231">
        <v>1407493092</v>
      </c>
      <c r="C231">
        <v>1407493083</v>
      </c>
      <c r="D231">
        <v>1364549319</v>
      </c>
      <c r="E231">
        <v>39</v>
      </c>
      <c r="F231">
        <v>1</v>
      </c>
      <c r="G231">
        <v>39</v>
      </c>
      <c r="H231">
        <v>1</v>
      </c>
      <c r="I231" t="s">
        <v>449</v>
      </c>
      <c r="J231" t="s">
        <v>3</v>
      </c>
      <c r="K231" t="s">
        <v>450</v>
      </c>
      <c r="L231">
        <v>1191</v>
      </c>
      <c r="N231">
        <v>1013</v>
      </c>
      <c r="O231" t="s">
        <v>451</v>
      </c>
      <c r="P231" t="s">
        <v>451</v>
      </c>
      <c r="Q231">
        <v>1</v>
      </c>
      <c r="X231">
        <v>0.72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3</v>
      </c>
      <c r="AG231">
        <v>0.72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ROW(Source!A402)</f>
        <v>402</v>
      </c>
      <c r="B232">
        <v>1407493093</v>
      </c>
      <c r="C232">
        <v>1407493083</v>
      </c>
      <c r="D232">
        <v>1364552866</v>
      </c>
      <c r="E232">
        <v>1</v>
      </c>
      <c r="F232">
        <v>1</v>
      </c>
      <c r="G232">
        <v>39</v>
      </c>
      <c r="H232">
        <v>3</v>
      </c>
      <c r="I232" t="s">
        <v>488</v>
      </c>
      <c r="J232" t="s">
        <v>489</v>
      </c>
      <c r="K232" t="s">
        <v>490</v>
      </c>
      <c r="L232">
        <v>1346</v>
      </c>
      <c r="N232">
        <v>1009</v>
      </c>
      <c r="O232" t="s">
        <v>466</v>
      </c>
      <c r="P232" t="s">
        <v>466</v>
      </c>
      <c r="Q232">
        <v>1</v>
      </c>
      <c r="X232">
        <v>5.0000000000000001E-4</v>
      </c>
      <c r="Y232">
        <v>276.63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5.0000000000000001E-4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ROW(Source!A402)</f>
        <v>402</v>
      </c>
      <c r="B233">
        <v>1407493094</v>
      </c>
      <c r="C233">
        <v>1407493083</v>
      </c>
      <c r="D233">
        <v>1364552908</v>
      </c>
      <c r="E233">
        <v>1</v>
      </c>
      <c r="F233">
        <v>1</v>
      </c>
      <c r="G233">
        <v>39</v>
      </c>
      <c r="H233">
        <v>3</v>
      </c>
      <c r="I233" t="s">
        <v>598</v>
      </c>
      <c r="J233" t="s">
        <v>599</v>
      </c>
      <c r="K233" t="s">
        <v>600</v>
      </c>
      <c r="L233">
        <v>1327</v>
      </c>
      <c r="N233">
        <v>1005</v>
      </c>
      <c r="O233" t="s">
        <v>531</v>
      </c>
      <c r="P233" t="s">
        <v>531</v>
      </c>
      <c r="Q233">
        <v>1</v>
      </c>
      <c r="X233">
        <v>0.05</v>
      </c>
      <c r="Y233">
        <v>51.79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0.05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ROW(Source!A402)</f>
        <v>402</v>
      </c>
      <c r="B234">
        <v>1407493095</v>
      </c>
      <c r="C234">
        <v>1407493083</v>
      </c>
      <c r="D234">
        <v>1364552913</v>
      </c>
      <c r="E234">
        <v>1</v>
      </c>
      <c r="F234">
        <v>1</v>
      </c>
      <c r="G234">
        <v>39</v>
      </c>
      <c r="H234">
        <v>3</v>
      </c>
      <c r="I234" t="s">
        <v>463</v>
      </c>
      <c r="J234" t="s">
        <v>464</v>
      </c>
      <c r="K234" t="s">
        <v>465</v>
      </c>
      <c r="L234">
        <v>1346</v>
      </c>
      <c r="N234">
        <v>1009</v>
      </c>
      <c r="O234" t="s">
        <v>466</v>
      </c>
      <c r="P234" t="s">
        <v>466</v>
      </c>
      <c r="Q234">
        <v>1</v>
      </c>
      <c r="X234">
        <v>0.05</v>
      </c>
      <c r="Y234">
        <v>26.09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0.05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ROW(Source!A403)</f>
        <v>403</v>
      </c>
      <c r="B235">
        <v>1407493103</v>
      </c>
      <c r="C235">
        <v>1407493096</v>
      </c>
      <c r="D235">
        <v>1364549319</v>
      </c>
      <c r="E235">
        <v>39</v>
      </c>
      <c r="F235">
        <v>1</v>
      </c>
      <c r="G235">
        <v>39</v>
      </c>
      <c r="H235">
        <v>1</v>
      </c>
      <c r="I235" t="s">
        <v>449</v>
      </c>
      <c r="J235" t="s">
        <v>3</v>
      </c>
      <c r="K235" t="s">
        <v>450</v>
      </c>
      <c r="L235">
        <v>1191</v>
      </c>
      <c r="N235">
        <v>1013</v>
      </c>
      <c r="O235" t="s">
        <v>451</v>
      </c>
      <c r="P235" t="s">
        <v>451</v>
      </c>
      <c r="Q235">
        <v>1</v>
      </c>
      <c r="X235">
        <v>0.2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69</v>
      </c>
      <c r="AG235">
        <v>0.60000000000000009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ROW(Source!A403)</f>
        <v>403</v>
      </c>
      <c r="B236">
        <v>1407493104</v>
      </c>
      <c r="C236">
        <v>1407493096</v>
      </c>
      <c r="D236">
        <v>1364552908</v>
      </c>
      <c r="E236">
        <v>1</v>
      </c>
      <c r="F236">
        <v>1</v>
      </c>
      <c r="G236">
        <v>39</v>
      </c>
      <c r="H236">
        <v>3</v>
      </c>
      <c r="I236" t="s">
        <v>598</v>
      </c>
      <c r="J236" t="s">
        <v>599</v>
      </c>
      <c r="K236" t="s">
        <v>600</v>
      </c>
      <c r="L236">
        <v>1327</v>
      </c>
      <c r="N236">
        <v>1005</v>
      </c>
      <c r="O236" t="s">
        <v>531</v>
      </c>
      <c r="P236" t="s">
        <v>531</v>
      </c>
      <c r="Q236">
        <v>1</v>
      </c>
      <c r="X236">
        <v>0.1</v>
      </c>
      <c r="Y236">
        <v>51.79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69</v>
      </c>
      <c r="AG236">
        <v>0.30000000000000004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ROW(Source!A403)</f>
        <v>403</v>
      </c>
      <c r="B237">
        <v>1407493105</v>
      </c>
      <c r="C237">
        <v>1407493096</v>
      </c>
      <c r="D237">
        <v>1364552913</v>
      </c>
      <c r="E237">
        <v>1</v>
      </c>
      <c r="F237">
        <v>1</v>
      </c>
      <c r="G237">
        <v>39</v>
      </c>
      <c r="H237">
        <v>3</v>
      </c>
      <c r="I237" t="s">
        <v>463</v>
      </c>
      <c r="J237" t="s">
        <v>464</v>
      </c>
      <c r="K237" t="s">
        <v>465</v>
      </c>
      <c r="L237">
        <v>1346</v>
      </c>
      <c r="N237">
        <v>1009</v>
      </c>
      <c r="O237" t="s">
        <v>466</v>
      </c>
      <c r="P237" t="s">
        <v>466</v>
      </c>
      <c r="Q237">
        <v>1</v>
      </c>
      <c r="X237">
        <v>0.1</v>
      </c>
      <c r="Y237">
        <v>26.09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69</v>
      </c>
      <c r="AG237">
        <v>0.30000000000000004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ROW(Source!A404)</f>
        <v>404</v>
      </c>
      <c r="B238">
        <v>1407493113</v>
      </c>
      <c r="C238">
        <v>1407493106</v>
      </c>
      <c r="D238">
        <v>1364549319</v>
      </c>
      <c r="E238">
        <v>39</v>
      </c>
      <c r="F238">
        <v>1</v>
      </c>
      <c r="G238">
        <v>39</v>
      </c>
      <c r="H238">
        <v>1</v>
      </c>
      <c r="I238" t="s">
        <v>449</v>
      </c>
      <c r="J238" t="s">
        <v>3</v>
      </c>
      <c r="K238" t="s">
        <v>450</v>
      </c>
      <c r="L238">
        <v>1191</v>
      </c>
      <c r="N238">
        <v>1013</v>
      </c>
      <c r="O238" t="s">
        <v>451</v>
      </c>
      <c r="P238" t="s">
        <v>451</v>
      </c>
      <c r="Q238">
        <v>1</v>
      </c>
      <c r="X238">
        <v>0.2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20</v>
      </c>
      <c r="AG238">
        <v>0.8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ROW(Source!A404)</f>
        <v>404</v>
      </c>
      <c r="B239">
        <v>1407493114</v>
      </c>
      <c r="C239">
        <v>1407493106</v>
      </c>
      <c r="D239">
        <v>1364552913</v>
      </c>
      <c r="E239">
        <v>1</v>
      </c>
      <c r="F239">
        <v>1</v>
      </c>
      <c r="G239">
        <v>39</v>
      </c>
      <c r="H239">
        <v>3</v>
      </c>
      <c r="I239" t="s">
        <v>463</v>
      </c>
      <c r="J239" t="s">
        <v>464</v>
      </c>
      <c r="K239" t="s">
        <v>465</v>
      </c>
      <c r="L239">
        <v>1346</v>
      </c>
      <c r="N239">
        <v>1009</v>
      </c>
      <c r="O239" t="s">
        <v>466</v>
      </c>
      <c r="P239" t="s">
        <v>466</v>
      </c>
      <c r="Q239">
        <v>1</v>
      </c>
      <c r="X239">
        <v>0.1</v>
      </c>
      <c r="Y239">
        <v>26.09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20</v>
      </c>
      <c r="AG239">
        <v>0.4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ROW(Source!A404)</f>
        <v>404</v>
      </c>
      <c r="B240">
        <v>1407493115</v>
      </c>
      <c r="C240">
        <v>1407493106</v>
      </c>
      <c r="D240">
        <v>1364551411</v>
      </c>
      <c r="E240">
        <v>1</v>
      </c>
      <c r="F240">
        <v>1</v>
      </c>
      <c r="G240">
        <v>39</v>
      </c>
      <c r="H240">
        <v>3</v>
      </c>
      <c r="I240" t="s">
        <v>573</v>
      </c>
      <c r="J240" t="s">
        <v>574</v>
      </c>
      <c r="K240" t="s">
        <v>575</v>
      </c>
      <c r="L240">
        <v>1348</v>
      </c>
      <c r="N240">
        <v>1009</v>
      </c>
      <c r="O240" t="s">
        <v>487</v>
      </c>
      <c r="P240" t="s">
        <v>487</v>
      </c>
      <c r="Q240">
        <v>1000</v>
      </c>
      <c r="X240">
        <v>1.0000000000000001E-5</v>
      </c>
      <c r="Y240">
        <v>116878.71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20</v>
      </c>
      <c r="AG240">
        <v>4.0000000000000003E-5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ROW(Source!A405)</f>
        <v>405</v>
      </c>
      <c r="B241">
        <v>1407493119</v>
      </c>
      <c r="C241">
        <v>1407493116</v>
      </c>
      <c r="D241">
        <v>1364549319</v>
      </c>
      <c r="E241">
        <v>39</v>
      </c>
      <c r="F241">
        <v>1</v>
      </c>
      <c r="G241">
        <v>39</v>
      </c>
      <c r="H241">
        <v>1</v>
      </c>
      <c r="I241" t="s">
        <v>449</v>
      </c>
      <c r="J241" t="s">
        <v>3</v>
      </c>
      <c r="K241" t="s">
        <v>450</v>
      </c>
      <c r="L241">
        <v>1191</v>
      </c>
      <c r="N241">
        <v>1013</v>
      </c>
      <c r="O241" t="s">
        <v>451</v>
      </c>
      <c r="P241" t="s">
        <v>451</v>
      </c>
      <c r="Q241">
        <v>1</v>
      </c>
      <c r="X241">
        <v>0.44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20</v>
      </c>
      <c r="AG241">
        <v>1.76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ROW(Source!A406)</f>
        <v>406</v>
      </c>
      <c r="B242">
        <v>1407493131</v>
      </c>
      <c r="C242">
        <v>1407493120</v>
      </c>
      <c r="D242">
        <v>1364549319</v>
      </c>
      <c r="E242">
        <v>39</v>
      </c>
      <c r="F242">
        <v>1</v>
      </c>
      <c r="G242">
        <v>39</v>
      </c>
      <c r="H242">
        <v>1</v>
      </c>
      <c r="I242" t="s">
        <v>449</v>
      </c>
      <c r="J242" t="s">
        <v>3</v>
      </c>
      <c r="K242" t="s">
        <v>450</v>
      </c>
      <c r="L242">
        <v>1191</v>
      </c>
      <c r="N242">
        <v>1013</v>
      </c>
      <c r="O242" t="s">
        <v>451</v>
      </c>
      <c r="P242" t="s">
        <v>451</v>
      </c>
      <c r="Q242">
        <v>1</v>
      </c>
      <c r="X242">
        <v>1.21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1</v>
      </c>
      <c r="AF242" t="s">
        <v>3</v>
      </c>
      <c r="AG242">
        <v>1.21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ROW(Source!A406)</f>
        <v>406</v>
      </c>
      <c r="B243">
        <v>1407493132</v>
      </c>
      <c r="C243">
        <v>1407493120</v>
      </c>
      <c r="D243">
        <v>1364551021</v>
      </c>
      <c r="E243">
        <v>1</v>
      </c>
      <c r="F243">
        <v>1</v>
      </c>
      <c r="G243">
        <v>39</v>
      </c>
      <c r="H243">
        <v>2</v>
      </c>
      <c r="I243" t="s">
        <v>470</v>
      </c>
      <c r="J243" t="s">
        <v>471</v>
      </c>
      <c r="K243" t="s">
        <v>472</v>
      </c>
      <c r="L243">
        <v>1368</v>
      </c>
      <c r="N243">
        <v>1011</v>
      </c>
      <c r="O243" t="s">
        <v>455</v>
      </c>
      <c r="P243" t="s">
        <v>455</v>
      </c>
      <c r="Q243">
        <v>1</v>
      </c>
      <c r="X243">
        <v>0.15</v>
      </c>
      <c r="Y243">
        <v>0</v>
      </c>
      <c r="Z243">
        <v>1490.46</v>
      </c>
      <c r="AA243">
        <v>808.44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0.15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ROW(Source!A406)</f>
        <v>406</v>
      </c>
      <c r="B244">
        <v>1407493133</v>
      </c>
      <c r="C244">
        <v>1407493120</v>
      </c>
      <c r="D244">
        <v>1364552866</v>
      </c>
      <c r="E244">
        <v>1</v>
      </c>
      <c r="F244">
        <v>1</v>
      </c>
      <c r="G244">
        <v>39</v>
      </c>
      <c r="H244">
        <v>3</v>
      </c>
      <c r="I244" t="s">
        <v>488</v>
      </c>
      <c r="J244" t="s">
        <v>489</v>
      </c>
      <c r="K244" t="s">
        <v>490</v>
      </c>
      <c r="L244">
        <v>1346</v>
      </c>
      <c r="N244">
        <v>1009</v>
      </c>
      <c r="O244" t="s">
        <v>466</v>
      </c>
      <c r="P244" t="s">
        <v>466</v>
      </c>
      <c r="Q244">
        <v>1</v>
      </c>
      <c r="X244">
        <v>2E-3</v>
      </c>
      <c r="Y244">
        <v>276.63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2E-3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ROW(Source!A406)</f>
        <v>406</v>
      </c>
      <c r="B245">
        <v>1407493134</v>
      </c>
      <c r="C245">
        <v>1407493120</v>
      </c>
      <c r="D245">
        <v>1364552913</v>
      </c>
      <c r="E245">
        <v>1</v>
      </c>
      <c r="F245">
        <v>1</v>
      </c>
      <c r="G245">
        <v>39</v>
      </c>
      <c r="H245">
        <v>3</v>
      </c>
      <c r="I245" t="s">
        <v>463</v>
      </c>
      <c r="J245" t="s">
        <v>464</v>
      </c>
      <c r="K245" t="s">
        <v>465</v>
      </c>
      <c r="L245">
        <v>1346</v>
      </c>
      <c r="N245">
        <v>1009</v>
      </c>
      <c r="O245" t="s">
        <v>466</v>
      </c>
      <c r="P245" t="s">
        <v>466</v>
      </c>
      <c r="Q245">
        <v>1</v>
      </c>
      <c r="X245">
        <v>4.0000000000000001E-3</v>
      </c>
      <c r="Y245">
        <v>26.09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4.0000000000000001E-3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ROW(Source!A406)</f>
        <v>406</v>
      </c>
      <c r="B246">
        <v>1407493135</v>
      </c>
      <c r="C246">
        <v>1407493120</v>
      </c>
      <c r="D246">
        <v>1364549473</v>
      </c>
      <c r="E246">
        <v>39</v>
      </c>
      <c r="F246">
        <v>1</v>
      </c>
      <c r="G246">
        <v>39</v>
      </c>
      <c r="H246">
        <v>3</v>
      </c>
      <c r="I246" t="s">
        <v>601</v>
      </c>
      <c r="J246" t="s">
        <v>3</v>
      </c>
      <c r="K246" t="s">
        <v>602</v>
      </c>
      <c r="L246">
        <v>1346</v>
      </c>
      <c r="N246">
        <v>1009</v>
      </c>
      <c r="O246" t="s">
        <v>466</v>
      </c>
      <c r="P246" t="s">
        <v>466</v>
      </c>
      <c r="Q246">
        <v>1</v>
      </c>
      <c r="X246">
        <v>1E-3</v>
      </c>
      <c r="Y246">
        <v>37.066319999999997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1E-3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ROW(Source!A407)</f>
        <v>407</v>
      </c>
      <c r="B247">
        <v>1407493147</v>
      </c>
      <c r="C247">
        <v>1407493136</v>
      </c>
      <c r="D247">
        <v>1364549319</v>
      </c>
      <c r="E247">
        <v>39</v>
      </c>
      <c r="F247">
        <v>1</v>
      </c>
      <c r="G247">
        <v>39</v>
      </c>
      <c r="H247">
        <v>1</v>
      </c>
      <c r="I247" t="s">
        <v>449</v>
      </c>
      <c r="J247" t="s">
        <v>3</v>
      </c>
      <c r="K247" t="s">
        <v>450</v>
      </c>
      <c r="L247">
        <v>1191</v>
      </c>
      <c r="N247">
        <v>1013</v>
      </c>
      <c r="O247" t="s">
        <v>451</v>
      </c>
      <c r="P247" t="s">
        <v>451</v>
      </c>
      <c r="Q247">
        <v>1</v>
      </c>
      <c r="X247">
        <v>0.24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69</v>
      </c>
      <c r="AG247">
        <v>0.72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ROW(Source!A407)</f>
        <v>407</v>
      </c>
      <c r="B248">
        <v>1407493148</v>
      </c>
      <c r="C248">
        <v>1407493136</v>
      </c>
      <c r="D248">
        <v>1364551021</v>
      </c>
      <c r="E248">
        <v>1</v>
      </c>
      <c r="F248">
        <v>1</v>
      </c>
      <c r="G248">
        <v>39</v>
      </c>
      <c r="H248">
        <v>2</v>
      </c>
      <c r="I248" t="s">
        <v>470</v>
      </c>
      <c r="J248" t="s">
        <v>471</v>
      </c>
      <c r="K248" t="s">
        <v>472</v>
      </c>
      <c r="L248">
        <v>1368</v>
      </c>
      <c r="N248">
        <v>1011</v>
      </c>
      <c r="O248" t="s">
        <v>455</v>
      </c>
      <c r="P248" t="s">
        <v>455</v>
      </c>
      <c r="Q248">
        <v>1</v>
      </c>
      <c r="X248">
        <v>0.03</v>
      </c>
      <c r="Y248">
        <v>0</v>
      </c>
      <c r="Z248">
        <v>1490.46</v>
      </c>
      <c r="AA248">
        <v>808.44</v>
      </c>
      <c r="AB248">
        <v>0</v>
      </c>
      <c r="AC248">
        <v>0</v>
      </c>
      <c r="AD248">
        <v>1</v>
      </c>
      <c r="AE248">
        <v>0</v>
      </c>
      <c r="AF248" t="s">
        <v>69</v>
      </c>
      <c r="AG248">
        <v>0.09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ROW(Source!A407)</f>
        <v>407</v>
      </c>
      <c r="B249">
        <v>1407493149</v>
      </c>
      <c r="C249">
        <v>1407493136</v>
      </c>
      <c r="D249">
        <v>1364552866</v>
      </c>
      <c r="E249">
        <v>1</v>
      </c>
      <c r="F249">
        <v>1</v>
      </c>
      <c r="G249">
        <v>39</v>
      </c>
      <c r="H249">
        <v>3</v>
      </c>
      <c r="I249" t="s">
        <v>488</v>
      </c>
      <c r="J249" t="s">
        <v>489</v>
      </c>
      <c r="K249" t="s">
        <v>490</v>
      </c>
      <c r="L249">
        <v>1346</v>
      </c>
      <c r="N249">
        <v>1009</v>
      </c>
      <c r="O249" t="s">
        <v>466</v>
      </c>
      <c r="P249" t="s">
        <v>466</v>
      </c>
      <c r="Q249">
        <v>1</v>
      </c>
      <c r="X249">
        <v>2E-3</v>
      </c>
      <c r="Y249">
        <v>276.63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69</v>
      </c>
      <c r="AG249">
        <v>6.0000000000000001E-3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ROW(Source!A407)</f>
        <v>407</v>
      </c>
      <c r="B250">
        <v>1407493150</v>
      </c>
      <c r="C250">
        <v>1407493136</v>
      </c>
      <c r="D250">
        <v>1364552913</v>
      </c>
      <c r="E250">
        <v>1</v>
      </c>
      <c r="F250">
        <v>1</v>
      </c>
      <c r="G250">
        <v>39</v>
      </c>
      <c r="H250">
        <v>3</v>
      </c>
      <c r="I250" t="s">
        <v>463</v>
      </c>
      <c r="J250" t="s">
        <v>464</v>
      </c>
      <c r="K250" t="s">
        <v>465</v>
      </c>
      <c r="L250">
        <v>1346</v>
      </c>
      <c r="N250">
        <v>1009</v>
      </c>
      <c r="O250" t="s">
        <v>466</v>
      </c>
      <c r="P250" t="s">
        <v>466</v>
      </c>
      <c r="Q250">
        <v>1</v>
      </c>
      <c r="X250">
        <v>4.0000000000000001E-3</v>
      </c>
      <c r="Y250">
        <v>26.09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69</v>
      </c>
      <c r="AG250">
        <v>1.2E-2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ROW(Source!A407)</f>
        <v>407</v>
      </c>
      <c r="B251">
        <v>1407493151</v>
      </c>
      <c r="C251">
        <v>1407493136</v>
      </c>
      <c r="D251">
        <v>1364549473</v>
      </c>
      <c r="E251">
        <v>39</v>
      </c>
      <c r="F251">
        <v>1</v>
      </c>
      <c r="G251">
        <v>39</v>
      </c>
      <c r="H251">
        <v>3</v>
      </c>
      <c r="I251" t="s">
        <v>601</v>
      </c>
      <c r="J251" t="s">
        <v>3</v>
      </c>
      <c r="K251" t="s">
        <v>602</v>
      </c>
      <c r="L251">
        <v>1346</v>
      </c>
      <c r="N251">
        <v>1009</v>
      </c>
      <c r="O251" t="s">
        <v>466</v>
      </c>
      <c r="P251" t="s">
        <v>466</v>
      </c>
      <c r="Q251">
        <v>1</v>
      </c>
      <c r="X251">
        <v>1E-3</v>
      </c>
      <c r="Y251">
        <v>37.066319999999997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69</v>
      </c>
      <c r="AG251">
        <v>3.0000000000000001E-3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ROW(Source!A408)</f>
        <v>408</v>
      </c>
      <c r="B252">
        <v>1407493155</v>
      </c>
      <c r="C252">
        <v>1407493152</v>
      </c>
      <c r="D252">
        <v>1364549319</v>
      </c>
      <c r="E252">
        <v>39</v>
      </c>
      <c r="F252">
        <v>1</v>
      </c>
      <c r="G252">
        <v>39</v>
      </c>
      <c r="H252">
        <v>1</v>
      </c>
      <c r="I252" t="s">
        <v>449</v>
      </c>
      <c r="J252" t="s">
        <v>3</v>
      </c>
      <c r="K252" t="s">
        <v>450</v>
      </c>
      <c r="L252">
        <v>1191</v>
      </c>
      <c r="N252">
        <v>1013</v>
      </c>
      <c r="O252" t="s">
        <v>451</v>
      </c>
      <c r="P252" t="s">
        <v>451</v>
      </c>
      <c r="Q252">
        <v>1</v>
      </c>
      <c r="X252">
        <v>13.71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52</v>
      </c>
      <c r="AG252">
        <v>27.42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ROW(Source!A409)</f>
        <v>409</v>
      </c>
      <c r="B253">
        <v>1407493165</v>
      </c>
      <c r="C253">
        <v>1407493156</v>
      </c>
      <c r="D253">
        <v>1364549319</v>
      </c>
      <c r="E253">
        <v>39</v>
      </c>
      <c r="F253">
        <v>1</v>
      </c>
      <c r="G253">
        <v>39</v>
      </c>
      <c r="H253">
        <v>1</v>
      </c>
      <c r="I253" t="s">
        <v>449</v>
      </c>
      <c r="J253" t="s">
        <v>3</v>
      </c>
      <c r="K253" t="s">
        <v>450</v>
      </c>
      <c r="L253">
        <v>1191</v>
      </c>
      <c r="N253">
        <v>1013</v>
      </c>
      <c r="O253" t="s">
        <v>451</v>
      </c>
      <c r="P253" t="s">
        <v>451</v>
      </c>
      <c r="Q253">
        <v>1</v>
      </c>
      <c r="X253">
        <v>0.47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52</v>
      </c>
      <c r="AG253">
        <v>0.94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ROW(Source!A409)</f>
        <v>409</v>
      </c>
      <c r="B254">
        <v>1407493166</v>
      </c>
      <c r="C254">
        <v>1407493156</v>
      </c>
      <c r="D254">
        <v>1364552866</v>
      </c>
      <c r="E254">
        <v>1</v>
      </c>
      <c r="F254">
        <v>1</v>
      </c>
      <c r="G254">
        <v>39</v>
      </c>
      <c r="H254">
        <v>3</v>
      </c>
      <c r="I254" t="s">
        <v>488</v>
      </c>
      <c r="J254" t="s">
        <v>489</v>
      </c>
      <c r="K254" t="s">
        <v>490</v>
      </c>
      <c r="L254">
        <v>1346</v>
      </c>
      <c r="N254">
        <v>1009</v>
      </c>
      <c r="O254" t="s">
        <v>466</v>
      </c>
      <c r="P254" t="s">
        <v>466</v>
      </c>
      <c r="Q254">
        <v>1</v>
      </c>
      <c r="X254">
        <v>8.0000000000000002E-3</v>
      </c>
      <c r="Y254">
        <v>276.63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52</v>
      </c>
      <c r="AG254">
        <v>1.6E-2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ROW(Source!A409)</f>
        <v>409</v>
      </c>
      <c r="B255">
        <v>1407493167</v>
      </c>
      <c r="C255">
        <v>1407493156</v>
      </c>
      <c r="D255">
        <v>1364552913</v>
      </c>
      <c r="E255">
        <v>1</v>
      </c>
      <c r="F255">
        <v>1</v>
      </c>
      <c r="G255">
        <v>39</v>
      </c>
      <c r="H255">
        <v>3</v>
      </c>
      <c r="I255" t="s">
        <v>463</v>
      </c>
      <c r="J255" t="s">
        <v>464</v>
      </c>
      <c r="K255" t="s">
        <v>465</v>
      </c>
      <c r="L255">
        <v>1346</v>
      </c>
      <c r="N255">
        <v>1009</v>
      </c>
      <c r="O255" t="s">
        <v>466</v>
      </c>
      <c r="P255" t="s">
        <v>466</v>
      </c>
      <c r="Q255">
        <v>1</v>
      </c>
      <c r="X255">
        <v>0.5</v>
      </c>
      <c r="Y255">
        <v>26.09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52</v>
      </c>
      <c r="AG255">
        <v>1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ROW(Source!A409)</f>
        <v>409</v>
      </c>
      <c r="B256">
        <v>1407493168</v>
      </c>
      <c r="C256">
        <v>1407493156</v>
      </c>
      <c r="D256">
        <v>1364551394</v>
      </c>
      <c r="E256">
        <v>1</v>
      </c>
      <c r="F256">
        <v>1</v>
      </c>
      <c r="G256">
        <v>39</v>
      </c>
      <c r="H256">
        <v>3</v>
      </c>
      <c r="I256" t="s">
        <v>579</v>
      </c>
      <c r="J256" t="s">
        <v>580</v>
      </c>
      <c r="K256" t="s">
        <v>581</v>
      </c>
      <c r="L256">
        <v>1296</v>
      </c>
      <c r="N256">
        <v>1002</v>
      </c>
      <c r="O256" t="s">
        <v>480</v>
      </c>
      <c r="P256" t="s">
        <v>480</v>
      </c>
      <c r="Q256">
        <v>1</v>
      </c>
      <c r="X256">
        <v>0.01</v>
      </c>
      <c r="Y256">
        <v>102.47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52</v>
      </c>
      <c r="AG256">
        <v>0.02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ROW(Source!A410)</f>
        <v>410</v>
      </c>
      <c r="B257">
        <v>1407493176</v>
      </c>
      <c r="C257">
        <v>1407493169</v>
      </c>
      <c r="D257">
        <v>1364549319</v>
      </c>
      <c r="E257">
        <v>39</v>
      </c>
      <c r="F257">
        <v>1</v>
      </c>
      <c r="G257">
        <v>39</v>
      </c>
      <c r="H257">
        <v>1</v>
      </c>
      <c r="I257" t="s">
        <v>449</v>
      </c>
      <c r="J257" t="s">
        <v>3</v>
      </c>
      <c r="K257" t="s">
        <v>450</v>
      </c>
      <c r="L257">
        <v>1191</v>
      </c>
      <c r="N257">
        <v>1013</v>
      </c>
      <c r="O257" t="s">
        <v>451</v>
      </c>
      <c r="P257" t="s">
        <v>451</v>
      </c>
      <c r="Q257">
        <v>1</v>
      </c>
      <c r="X257">
        <v>12.5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52</v>
      </c>
      <c r="AG257">
        <v>25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ROW(Source!A410)</f>
        <v>410</v>
      </c>
      <c r="B258">
        <v>1407493177</v>
      </c>
      <c r="C258">
        <v>1407493169</v>
      </c>
      <c r="D258">
        <v>1364552913</v>
      </c>
      <c r="E258">
        <v>1</v>
      </c>
      <c r="F258">
        <v>1</v>
      </c>
      <c r="G258">
        <v>39</v>
      </c>
      <c r="H258">
        <v>3</v>
      </c>
      <c r="I258" t="s">
        <v>463</v>
      </c>
      <c r="J258" t="s">
        <v>464</v>
      </c>
      <c r="K258" t="s">
        <v>465</v>
      </c>
      <c r="L258">
        <v>1346</v>
      </c>
      <c r="N258">
        <v>1009</v>
      </c>
      <c r="O258" t="s">
        <v>466</v>
      </c>
      <c r="P258" t="s">
        <v>466</v>
      </c>
      <c r="Q258">
        <v>1</v>
      </c>
      <c r="X258">
        <v>0.2</v>
      </c>
      <c r="Y258">
        <v>26.09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52</v>
      </c>
      <c r="AG258">
        <v>0.4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ROW(Source!A410)</f>
        <v>410</v>
      </c>
      <c r="B259">
        <v>1407493178</v>
      </c>
      <c r="C259">
        <v>1407493169</v>
      </c>
      <c r="D259">
        <v>1364551380</v>
      </c>
      <c r="E259">
        <v>1</v>
      </c>
      <c r="F259">
        <v>1</v>
      </c>
      <c r="G259">
        <v>39</v>
      </c>
      <c r="H259">
        <v>3</v>
      </c>
      <c r="I259" t="s">
        <v>582</v>
      </c>
      <c r="J259" t="s">
        <v>583</v>
      </c>
      <c r="K259" t="s">
        <v>584</v>
      </c>
      <c r="L259">
        <v>1348</v>
      </c>
      <c r="N259">
        <v>1009</v>
      </c>
      <c r="O259" t="s">
        <v>487</v>
      </c>
      <c r="P259" t="s">
        <v>487</v>
      </c>
      <c r="Q259">
        <v>1000</v>
      </c>
      <c r="X259">
        <v>1.4999999999999999E-4</v>
      </c>
      <c r="Y259">
        <v>68764.41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52</v>
      </c>
      <c r="AG259">
        <v>2.9999999999999997E-4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ROW(Source!A411)</f>
        <v>411</v>
      </c>
      <c r="B260">
        <v>1407493184</v>
      </c>
      <c r="C260">
        <v>1407493179</v>
      </c>
      <c r="D260">
        <v>1364549319</v>
      </c>
      <c r="E260">
        <v>39</v>
      </c>
      <c r="F260">
        <v>1</v>
      </c>
      <c r="G260">
        <v>39</v>
      </c>
      <c r="H260">
        <v>1</v>
      </c>
      <c r="I260" t="s">
        <v>449</v>
      </c>
      <c r="J260" t="s">
        <v>3</v>
      </c>
      <c r="K260" t="s">
        <v>450</v>
      </c>
      <c r="L260">
        <v>1191</v>
      </c>
      <c r="N260">
        <v>1013</v>
      </c>
      <c r="O260" t="s">
        <v>451</v>
      </c>
      <c r="P260" t="s">
        <v>451</v>
      </c>
      <c r="Q260">
        <v>1</v>
      </c>
      <c r="X260">
        <v>0.3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1</v>
      </c>
      <c r="AF260" t="s">
        <v>20</v>
      </c>
      <c r="AG260">
        <v>1.2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ROW(Source!A411)</f>
        <v>411</v>
      </c>
      <c r="B261">
        <v>1407493185</v>
      </c>
      <c r="C261">
        <v>1407493179</v>
      </c>
      <c r="D261">
        <v>1364552913</v>
      </c>
      <c r="E261">
        <v>1</v>
      </c>
      <c r="F261">
        <v>1</v>
      </c>
      <c r="G261">
        <v>39</v>
      </c>
      <c r="H261">
        <v>3</v>
      </c>
      <c r="I261" t="s">
        <v>463</v>
      </c>
      <c r="J261" t="s">
        <v>464</v>
      </c>
      <c r="K261" t="s">
        <v>465</v>
      </c>
      <c r="L261">
        <v>1346</v>
      </c>
      <c r="N261">
        <v>1009</v>
      </c>
      <c r="O261" t="s">
        <v>466</v>
      </c>
      <c r="P261" t="s">
        <v>466</v>
      </c>
      <c r="Q261">
        <v>1</v>
      </c>
      <c r="X261">
        <v>5.0000000000000001E-4</v>
      </c>
      <c r="Y261">
        <v>26.09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20</v>
      </c>
      <c r="AG261">
        <v>2E-3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ROW(Source!A515)</f>
        <v>515</v>
      </c>
      <c r="B262">
        <v>1407493195</v>
      </c>
      <c r="C262">
        <v>1407493186</v>
      </c>
      <c r="D262">
        <v>1364549319</v>
      </c>
      <c r="E262">
        <v>39</v>
      </c>
      <c r="F262">
        <v>1</v>
      </c>
      <c r="G262">
        <v>39</v>
      </c>
      <c r="H262">
        <v>1</v>
      </c>
      <c r="I262" t="s">
        <v>449</v>
      </c>
      <c r="J262" t="s">
        <v>3</v>
      </c>
      <c r="K262" t="s">
        <v>450</v>
      </c>
      <c r="L262">
        <v>1191</v>
      </c>
      <c r="N262">
        <v>1013</v>
      </c>
      <c r="O262" t="s">
        <v>451</v>
      </c>
      <c r="P262" t="s">
        <v>451</v>
      </c>
      <c r="Q262">
        <v>1</v>
      </c>
      <c r="X262">
        <v>7.56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52</v>
      </c>
      <c r="AG262">
        <v>15.12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ROW(Source!A515)</f>
        <v>515</v>
      </c>
      <c r="B263">
        <v>1407493196</v>
      </c>
      <c r="C263">
        <v>1407493186</v>
      </c>
      <c r="D263">
        <v>1364550719</v>
      </c>
      <c r="E263">
        <v>1</v>
      </c>
      <c r="F263">
        <v>1</v>
      </c>
      <c r="G263">
        <v>39</v>
      </c>
      <c r="H263">
        <v>2</v>
      </c>
      <c r="I263" t="s">
        <v>460</v>
      </c>
      <c r="J263" t="s">
        <v>461</v>
      </c>
      <c r="K263" t="s">
        <v>462</v>
      </c>
      <c r="L263">
        <v>1368</v>
      </c>
      <c r="N263">
        <v>1011</v>
      </c>
      <c r="O263" t="s">
        <v>455</v>
      </c>
      <c r="P263" t="s">
        <v>455</v>
      </c>
      <c r="Q263">
        <v>1</v>
      </c>
      <c r="X263">
        <v>0.46</v>
      </c>
      <c r="Y263">
        <v>0</v>
      </c>
      <c r="Z263">
        <v>56.19</v>
      </c>
      <c r="AA263">
        <v>0.31</v>
      </c>
      <c r="AB263">
        <v>0</v>
      </c>
      <c r="AC263">
        <v>0</v>
      </c>
      <c r="AD263">
        <v>1</v>
      </c>
      <c r="AE263">
        <v>0</v>
      </c>
      <c r="AF263" t="s">
        <v>52</v>
      </c>
      <c r="AG263">
        <v>0.92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ROW(Source!A515)</f>
        <v>515</v>
      </c>
      <c r="B264">
        <v>1407493197</v>
      </c>
      <c r="C264">
        <v>1407493186</v>
      </c>
      <c r="D264">
        <v>1364551021</v>
      </c>
      <c r="E264">
        <v>1</v>
      </c>
      <c r="F264">
        <v>1</v>
      </c>
      <c r="G264">
        <v>39</v>
      </c>
      <c r="H264">
        <v>2</v>
      </c>
      <c r="I264" t="s">
        <v>470</v>
      </c>
      <c r="J264" t="s">
        <v>471</v>
      </c>
      <c r="K264" t="s">
        <v>472</v>
      </c>
      <c r="L264">
        <v>1368</v>
      </c>
      <c r="N264">
        <v>1011</v>
      </c>
      <c r="O264" t="s">
        <v>455</v>
      </c>
      <c r="P264" t="s">
        <v>455</v>
      </c>
      <c r="Q264">
        <v>1</v>
      </c>
      <c r="X264">
        <v>2.83</v>
      </c>
      <c r="Y264">
        <v>0</v>
      </c>
      <c r="Z264">
        <v>1490.46</v>
      </c>
      <c r="AA264">
        <v>808.44</v>
      </c>
      <c r="AB264">
        <v>0</v>
      </c>
      <c r="AC264">
        <v>0</v>
      </c>
      <c r="AD264">
        <v>1</v>
      </c>
      <c r="AE264">
        <v>0</v>
      </c>
      <c r="AF264" t="s">
        <v>52</v>
      </c>
      <c r="AG264">
        <v>5.66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ROW(Source!A515)</f>
        <v>515</v>
      </c>
      <c r="B265">
        <v>1407493198</v>
      </c>
      <c r="C265">
        <v>1407493186</v>
      </c>
      <c r="D265">
        <v>1364552913</v>
      </c>
      <c r="E265">
        <v>1</v>
      </c>
      <c r="F265">
        <v>1</v>
      </c>
      <c r="G265">
        <v>39</v>
      </c>
      <c r="H265">
        <v>3</v>
      </c>
      <c r="I265" t="s">
        <v>463</v>
      </c>
      <c r="J265" t="s">
        <v>464</v>
      </c>
      <c r="K265" t="s">
        <v>465</v>
      </c>
      <c r="L265">
        <v>1346</v>
      </c>
      <c r="N265">
        <v>1009</v>
      </c>
      <c r="O265" t="s">
        <v>466</v>
      </c>
      <c r="P265" t="s">
        <v>466</v>
      </c>
      <c r="Q265">
        <v>1</v>
      </c>
      <c r="X265">
        <v>0.18</v>
      </c>
      <c r="Y265">
        <v>26.09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52</v>
      </c>
      <c r="AG265">
        <v>0.36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ROW(Source!A516)</f>
        <v>516</v>
      </c>
      <c r="B266">
        <v>1407493204</v>
      </c>
      <c r="C266">
        <v>1407493199</v>
      </c>
      <c r="D266">
        <v>1364549319</v>
      </c>
      <c r="E266">
        <v>39</v>
      </c>
      <c r="F266">
        <v>1</v>
      </c>
      <c r="G266">
        <v>39</v>
      </c>
      <c r="H266">
        <v>1</v>
      </c>
      <c r="I266" t="s">
        <v>449</v>
      </c>
      <c r="J266" t="s">
        <v>3</v>
      </c>
      <c r="K266" t="s">
        <v>450</v>
      </c>
      <c r="L266">
        <v>1191</v>
      </c>
      <c r="N266">
        <v>1013</v>
      </c>
      <c r="O266" t="s">
        <v>451</v>
      </c>
      <c r="P266" t="s">
        <v>451</v>
      </c>
      <c r="Q266">
        <v>1</v>
      </c>
      <c r="X266">
        <v>1.5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52</v>
      </c>
      <c r="AG266">
        <v>3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ROW(Source!A516)</f>
        <v>516</v>
      </c>
      <c r="B267">
        <v>1407493205</v>
      </c>
      <c r="C267">
        <v>1407493199</v>
      </c>
      <c r="D267">
        <v>1364552913</v>
      </c>
      <c r="E267">
        <v>1</v>
      </c>
      <c r="F267">
        <v>1</v>
      </c>
      <c r="G267">
        <v>39</v>
      </c>
      <c r="H267">
        <v>3</v>
      </c>
      <c r="I267" t="s">
        <v>463</v>
      </c>
      <c r="J267" t="s">
        <v>464</v>
      </c>
      <c r="K267" t="s">
        <v>465</v>
      </c>
      <c r="L267">
        <v>1346</v>
      </c>
      <c r="N267">
        <v>1009</v>
      </c>
      <c r="O267" t="s">
        <v>466</v>
      </c>
      <c r="P267" t="s">
        <v>466</v>
      </c>
      <c r="Q267">
        <v>1</v>
      </c>
      <c r="X267">
        <v>4.1999999999999997E-3</v>
      </c>
      <c r="Y267">
        <v>26.09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52</v>
      </c>
      <c r="AG267">
        <v>8.3999999999999995E-3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ROW(Source!A517)</f>
        <v>517</v>
      </c>
      <c r="B268">
        <v>1407493211</v>
      </c>
      <c r="C268">
        <v>1407493206</v>
      </c>
      <c r="D268">
        <v>1364549319</v>
      </c>
      <c r="E268">
        <v>39</v>
      </c>
      <c r="F268">
        <v>1</v>
      </c>
      <c r="G268">
        <v>39</v>
      </c>
      <c r="H268">
        <v>1</v>
      </c>
      <c r="I268" t="s">
        <v>449</v>
      </c>
      <c r="J268" t="s">
        <v>3</v>
      </c>
      <c r="K268" t="s">
        <v>450</v>
      </c>
      <c r="L268">
        <v>1191</v>
      </c>
      <c r="N268">
        <v>1013</v>
      </c>
      <c r="O268" t="s">
        <v>451</v>
      </c>
      <c r="P268" t="s">
        <v>451</v>
      </c>
      <c r="Q268">
        <v>1</v>
      </c>
      <c r="X268">
        <v>2.78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52</v>
      </c>
      <c r="AG268">
        <v>5.56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ROW(Source!A517)</f>
        <v>517</v>
      </c>
      <c r="B269">
        <v>1407493212</v>
      </c>
      <c r="C269">
        <v>1407493206</v>
      </c>
      <c r="D269">
        <v>1364552913</v>
      </c>
      <c r="E269">
        <v>1</v>
      </c>
      <c r="F269">
        <v>1</v>
      </c>
      <c r="G269">
        <v>39</v>
      </c>
      <c r="H269">
        <v>3</v>
      </c>
      <c r="I269" t="s">
        <v>463</v>
      </c>
      <c r="J269" t="s">
        <v>464</v>
      </c>
      <c r="K269" t="s">
        <v>465</v>
      </c>
      <c r="L269">
        <v>1346</v>
      </c>
      <c r="N269">
        <v>1009</v>
      </c>
      <c r="O269" t="s">
        <v>466</v>
      </c>
      <c r="P269" t="s">
        <v>466</v>
      </c>
      <c r="Q269">
        <v>1</v>
      </c>
      <c r="X269">
        <v>4.0000000000000001E-3</v>
      </c>
      <c r="Y269">
        <v>26.09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52</v>
      </c>
      <c r="AG269">
        <v>8.0000000000000002E-3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ROW(Source!A518)</f>
        <v>518</v>
      </c>
      <c r="B270">
        <v>1407493220</v>
      </c>
      <c r="C270">
        <v>1407493213</v>
      </c>
      <c r="D270">
        <v>1364549319</v>
      </c>
      <c r="E270">
        <v>39</v>
      </c>
      <c r="F270">
        <v>1</v>
      </c>
      <c r="G270">
        <v>39</v>
      </c>
      <c r="H270">
        <v>1</v>
      </c>
      <c r="I270" t="s">
        <v>449</v>
      </c>
      <c r="J270" t="s">
        <v>3</v>
      </c>
      <c r="K270" t="s">
        <v>450</v>
      </c>
      <c r="L270">
        <v>1191</v>
      </c>
      <c r="N270">
        <v>1013</v>
      </c>
      <c r="O270" t="s">
        <v>451</v>
      </c>
      <c r="P270" t="s">
        <v>451</v>
      </c>
      <c r="Q270">
        <v>1</v>
      </c>
      <c r="X270">
        <v>7.98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1</v>
      </c>
      <c r="AF270" t="s">
        <v>3</v>
      </c>
      <c r="AG270">
        <v>7.98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ROW(Source!A518)</f>
        <v>518</v>
      </c>
      <c r="B271">
        <v>1407493221</v>
      </c>
      <c r="C271">
        <v>1407493213</v>
      </c>
      <c r="D271">
        <v>1364552913</v>
      </c>
      <c r="E271">
        <v>1</v>
      </c>
      <c r="F271">
        <v>1</v>
      </c>
      <c r="G271">
        <v>39</v>
      </c>
      <c r="H271">
        <v>3</v>
      </c>
      <c r="I271" t="s">
        <v>463</v>
      </c>
      <c r="J271" t="s">
        <v>464</v>
      </c>
      <c r="K271" t="s">
        <v>465</v>
      </c>
      <c r="L271">
        <v>1346</v>
      </c>
      <c r="N271">
        <v>1009</v>
      </c>
      <c r="O271" t="s">
        <v>466</v>
      </c>
      <c r="P271" t="s">
        <v>466</v>
      </c>
      <c r="Q271">
        <v>1</v>
      </c>
      <c r="X271">
        <v>0.06</v>
      </c>
      <c r="Y271">
        <v>26.09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0.06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ROW(Source!A518)</f>
        <v>518</v>
      </c>
      <c r="B272">
        <v>1407493222</v>
      </c>
      <c r="C272">
        <v>1407493213</v>
      </c>
      <c r="D272">
        <v>1364549559</v>
      </c>
      <c r="E272">
        <v>39</v>
      </c>
      <c r="F272">
        <v>1</v>
      </c>
      <c r="G272">
        <v>39</v>
      </c>
      <c r="H272">
        <v>3</v>
      </c>
      <c r="I272" t="s">
        <v>603</v>
      </c>
      <c r="J272" t="s">
        <v>3</v>
      </c>
      <c r="K272" t="s">
        <v>604</v>
      </c>
      <c r="L272">
        <v>1346</v>
      </c>
      <c r="N272">
        <v>1009</v>
      </c>
      <c r="O272" t="s">
        <v>466</v>
      </c>
      <c r="P272" t="s">
        <v>466</v>
      </c>
      <c r="Q272">
        <v>1</v>
      </c>
      <c r="X272">
        <v>0.05</v>
      </c>
      <c r="Y272">
        <v>91.55865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0.05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ROW(Source!A519)</f>
        <v>519</v>
      </c>
      <c r="B273">
        <v>1407493230</v>
      </c>
      <c r="C273">
        <v>1407493223</v>
      </c>
      <c r="D273">
        <v>1364549319</v>
      </c>
      <c r="E273">
        <v>39</v>
      </c>
      <c r="F273">
        <v>1</v>
      </c>
      <c r="G273">
        <v>39</v>
      </c>
      <c r="H273">
        <v>1</v>
      </c>
      <c r="I273" t="s">
        <v>449</v>
      </c>
      <c r="J273" t="s">
        <v>3</v>
      </c>
      <c r="K273" t="s">
        <v>450</v>
      </c>
      <c r="L273">
        <v>1191</v>
      </c>
      <c r="N273">
        <v>1013</v>
      </c>
      <c r="O273" t="s">
        <v>451</v>
      </c>
      <c r="P273" t="s">
        <v>451</v>
      </c>
      <c r="Q273">
        <v>1</v>
      </c>
      <c r="X273">
        <v>1.96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52</v>
      </c>
      <c r="AG273">
        <v>3.92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ROW(Source!A519)</f>
        <v>519</v>
      </c>
      <c r="B274">
        <v>1407493231</v>
      </c>
      <c r="C274">
        <v>1407493223</v>
      </c>
      <c r="D274">
        <v>1364550719</v>
      </c>
      <c r="E274">
        <v>1</v>
      </c>
      <c r="F274">
        <v>1</v>
      </c>
      <c r="G274">
        <v>39</v>
      </c>
      <c r="H274">
        <v>2</v>
      </c>
      <c r="I274" t="s">
        <v>460</v>
      </c>
      <c r="J274" t="s">
        <v>461</v>
      </c>
      <c r="K274" t="s">
        <v>462</v>
      </c>
      <c r="L274">
        <v>1368</v>
      </c>
      <c r="N274">
        <v>1011</v>
      </c>
      <c r="O274" t="s">
        <v>455</v>
      </c>
      <c r="P274" t="s">
        <v>455</v>
      </c>
      <c r="Q274">
        <v>1</v>
      </c>
      <c r="X274">
        <v>0.05</v>
      </c>
      <c r="Y274">
        <v>0</v>
      </c>
      <c r="Z274">
        <v>56.19</v>
      </c>
      <c r="AA274">
        <v>0.31</v>
      </c>
      <c r="AB274">
        <v>0</v>
      </c>
      <c r="AC274">
        <v>0</v>
      </c>
      <c r="AD274">
        <v>1</v>
      </c>
      <c r="AE274">
        <v>0</v>
      </c>
      <c r="AF274" t="s">
        <v>52</v>
      </c>
      <c r="AG274">
        <v>0.1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ROW(Source!A519)</f>
        <v>519</v>
      </c>
      <c r="B275">
        <v>1407493232</v>
      </c>
      <c r="C275">
        <v>1407493223</v>
      </c>
      <c r="D275">
        <v>1364552913</v>
      </c>
      <c r="E275">
        <v>1</v>
      </c>
      <c r="F275">
        <v>1</v>
      </c>
      <c r="G275">
        <v>39</v>
      </c>
      <c r="H275">
        <v>3</v>
      </c>
      <c r="I275" t="s">
        <v>463</v>
      </c>
      <c r="J275" t="s">
        <v>464</v>
      </c>
      <c r="K275" t="s">
        <v>465</v>
      </c>
      <c r="L275">
        <v>1346</v>
      </c>
      <c r="N275">
        <v>1009</v>
      </c>
      <c r="O275" t="s">
        <v>466</v>
      </c>
      <c r="P275" t="s">
        <v>466</v>
      </c>
      <c r="Q275">
        <v>1</v>
      </c>
      <c r="X275">
        <v>0.03</v>
      </c>
      <c r="Y275">
        <v>26.09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52</v>
      </c>
      <c r="AG275">
        <v>0.06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ROW(Source!A520)</f>
        <v>520</v>
      </c>
      <c r="B276">
        <v>1407493240</v>
      </c>
      <c r="C276">
        <v>1407493233</v>
      </c>
      <c r="D276">
        <v>1364549319</v>
      </c>
      <c r="E276">
        <v>39</v>
      </c>
      <c r="F276">
        <v>1</v>
      </c>
      <c r="G276">
        <v>39</v>
      </c>
      <c r="H276">
        <v>1</v>
      </c>
      <c r="I276" t="s">
        <v>449</v>
      </c>
      <c r="J276" t="s">
        <v>3</v>
      </c>
      <c r="K276" t="s">
        <v>450</v>
      </c>
      <c r="L276">
        <v>1191</v>
      </c>
      <c r="N276">
        <v>1013</v>
      </c>
      <c r="O276" t="s">
        <v>451</v>
      </c>
      <c r="P276" t="s">
        <v>451</v>
      </c>
      <c r="Q276">
        <v>1</v>
      </c>
      <c r="X276">
        <v>3.78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52</v>
      </c>
      <c r="AG276">
        <v>7.56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ROW(Source!A520)</f>
        <v>520</v>
      </c>
      <c r="B277">
        <v>1407493241</v>
      </c>
      <c r="C277">
        <v>1407493233</v>
      </c>
      <c r="D277">
        <v>1364550719</v>
      </c>
      <c r="E277">
        <v>1</v>
      </c>
      <c r="F277">
        <v>1</v>
      </c>
      <c r="G277">
        <v>39</v>
      </c>
      <c r="H277">
        <v>2</v>
      </c>
      <c r="I277" t="s">
        <v>460</v>
      </c>
      <c r="J277" t="s">
        <v>461</v>
      </c>
      <c r="K277" t="s">
        <v>462</v>
      </c>
      <c r="L277">
        <v>1368</v>
      </c>
      <c r="N277">
        <v>1011</v>
      </c>
      <c r="O277" t="s">
        <v>455</v>
      </c>
      <c r="P277" t="s">
        <v>455</v>
      </c>
      <c r="Q277">
        <v>1</v>
      </c>
      <c r="X277">
        <v>0.05</v>
      </c>
      <c r="Y277">
        <v>0</v>
      </c>
      <c r="Z277">
        <v>56.19</v>
      </c>
      <c r="AA277">
        <v>0.31</v>
      </c>
      <c r="AB277">
        <v>0</v>
      </c>
      <c r="AC277">
        <v>0</v>
      </c>
      <c r="AD277">
        <v>1</v>
      </c>
      <c r="AE277">
        <v>0</v>
      </c>
      <c r="AF277" t="s">
        <v>52</v>
      </c>
      <c r="AG277">
        <v>0.1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ROW(Source!A520)</f>
        <v>520</v>
      </c>
      <c r="B278">
        <v>1407493242</v>
      </c>
      <c r="C278">
        <v>1407493233</v>
      </c>
      <c r="D278">
        <v>1364552913</v>
      </c>
      <c r="E278">
        <v>1</v>
      </c>
      <c r="F278">
        <v>1</v>
      </c>
      <c r="G278">
        <v>39</v>
      </c>
      <c r="H278">
        <v>3</v>
      </c>
      <c r="I278" t="s">
        <v>463</v>
      </c>
      <c r="J278" t="s">
        <v>464</v>
      </c>
      <c r="K278" t="s">
        <v>465</v>
      </c>
      <c r="L278">
        <v>1346</v>
      </c>
      <c r="N278">
        <v>1009</v>
      </c>
      <c r="O278" t="s">
        <v>466</v>
      </c>
      <c r="P278" t="s">
        <v>466</v>
      </c>
      <c r="Q278">
        <v>1</v>
      </c>
      <c r="X278">
        <v>0.56999999999999995</v>
      </c>
      <c r="Y278">
        <v>26.09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52</v>
      </c>
      <c r="AG278">
        <v>1.1399999999999999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ROW(Source!A521)</f>
        <v>521</v>
      </c>
      <c r="B279">
        <v>1407493252</v>
      </c>
      <c r="C279">
        <v>1407493243</v>
      </c>
      <c r="D279">
        <v>1364549319</v>
      </c>
      <c r="E279">
        <v>39</v>
      </c>
      <c r="F279">
        <v>1</v>
      </c>
      <c r="G279">
        <v>39</v>
      </c>
      <c r="H279">
        <v>1</v>
      </c>
      <c r="I279" t="s">
        <v>449</v>
      </c>
      <c r="J279" t="s">
        <v>3</v>
      </c>
      <c r="K279" t="s">
        <v>450</v>
      </c>
      <c r="L279">
        <v>1191</v>
      </c>
      <c r="N279">
        <v>1013</v>
      </c>
      <c r="O279" t="s">
        <v>451</v>
      </c>
      <c r="P279" t="s">
        <v>451</v>
      </c>
      <c r="Q279">
        <v>1</v>
      </c>
      <c r="X279">
        <v>9.5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</v>
      </c>
      <c r="AG279">
        <v>9.5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ROW(Source!A521)</f>
        <v>521</v>
      </c>
      <c r="B280">
        <v>1407493253</v>
      </c>
      <c r="C280">
        <v>1407493243</v>
      </c>
      <c r="D280">
        <v>1364550719</v>
      </c>
      <c r="E280">
        <v>1</v>
      </c>
      <c r="F280">
        <v>1</v>
      </c>
      <c r="G280">
        <v>39</v>
      </c>
      <c r="H280">
        <v>2</v>
      </c>
      <c r="I280" t="s">
        <v>460</v>
      </c>
      <c r="J280" t="s">
        <v>461</v>
      </c>
      <c r="K280" t="s">
        <v>462</v>
      </c>
      <c r="L280">
        <v>1368</v>
      </c>
      <c r="N280">
        <v>1011</v>
      </c>
      <c r="O280" t="s">
        <v>455</v>
      </c>
      <c r="P280" t="s">
        <v>455</v>
      </c>
      <c r="Q280">
        <v>1</v>
      </c>
      <c r="X280">
        <v>0.27</v>
      </c>
      <c r="Y280">
        <v>0</v>
      </c>
      <c r="Z280">
        <v>56.19</v>
      </c>
      <c r="AA280">
        <v>0.31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0.27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ROW(Source!A521)</f>
        <v>521</v>
      </c>
      <c r="B281">
        <v>1407493254</v>
      </c>
      <c r="C281">
        <v>1407493243</v>
      </c>
      <c r="D281">
        <v>1364552913</v>
      </c>
      <c r="E281">
        <v>1</v>
      </c>
      <c r="F281">
        <v>1</v>
      </c>
      <c r="G281">
        <v>39</v>
      </c>
      <c r="H281">
        <v>3</v>
      </c>
      <c r="I281" t="s">
        <v>463</v>
      </c>
      <c r="J281" t="s">
        <v>464</v>
      </c>
      <c r="K281" t="s">
        <v>465</v>
      </c>
      <c r="L281">
        <v>1346</v>
      </c>
      <c r="N281">
        <v>1009</v>
      </c>
      <c r="O281" t="s">
        <v>466</v>
      </c>
      <c r="P281" t="s">
        <v>466</v>
      </c>
      <c r="Q281">
        <v>1</v>
      </c>
      <c r="X281">
        <v>0.59</v>
      </c>
      <c r="Y281">
        <v>26.09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0.59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ROW(Source!A521)</f>
        <v>521</v>
      </c>
      <c r="B282">
        <v>1407493255</v>
      </c>
      <c r="C282">
        <v>1407493243</v>
      </c>
      <c r="D282">
        <v>1364549559</v>
      </c>
      <c r="E282">
        <v>39</v>
      </c>
      <c r="F282">
        <v>1</v>
      </c>
      <c r="G282">
        <v>39</v>
      </c>
      <c r="H282">
        <v>3</v>
      </c>
      <c r="I282" t="s">
        <v>603</v>
      </c>
      <c r="J282" t="s">
        <v>3</v>
      </c>
      <c r="K282" t="s">
        <v>604</v>
      </c>
      <c r="L282">
        <v>1346</v>
      </c>
      <c r="N282">
        <v>1009</v>
      </c>
      <c r="O282" t="s">
        <v>466</v>
      </c>
      <c r="P282" t="s">
        <v>466</v>
      </c>
      <c r="Q282">
        <v>1</v>
      </c>
      <c r="X282">
        <v>4.2999999999999997E-2</v>
      </c>
      <c r="Y282">
        <v>91.55865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4.2999999999999997E-2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ROW(Source!A522)</f>
        <v>522</v>
      </c>
      <c r="B283">
        <v>1407493275</v>
      </c>
      <c r="C283">
        <v>1407493256</v>
      </c>
      <c r="D283">
        <v>1364549319</v>
      </c>
      <c r="E283">
        <v>39</v>
      </c>
      <c r="F283">
        <v>1</v>
      </c>
      <c r="G283">
        <v>39</v>
      </c>
      <c r="H283">
        <v>1</v>
      </c>
      <c r="I283" t="s">
        <v>449</v>
      </c>
      <c r="J283" t="s">
        <v>3</v>
      </c>
      <c r="K283" t="s">
        <v>450</v>
      </c>
      <c r="L283">
        <v>1191</v>
      </c>
      <c r="N283">
        <v>1013</v>
      </c>
      <c r="O283" t="s">
        <v>451</v>
      </c>
      <c r="P283" t="s">
        <v>451</v>
      </c>
      <c r="Q283">
        <v>1</v>
      </c>
      <c r="X283">
        <v>57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1</v>
      </c>
      <c r="AF283" t="s">
        <v>325</v>
      </c>
      <c r="AG283">
        <v>38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ROW(Source!A522)</f>
        <v>522</v>
      </c>
      <c r="B284">
        <v>1407493276</v>
      </c>
      <c r="C284">
        <v>1407493256</v>
      </c>
      <c r="D284">
        <v>1364552184</v>
      </c>
      <c r="E284">
        <v>1</v>
      </c>
      <c r="F284">
        <v>1</v>
      </c>
      <c r="G284">
        <v>39</v>
      </c>
      <c r="H284">
        <v>3</v>
      </c>
      <c r="I284" t="s">
        <v>535</v>
      </c>
      <c r="J284" t="s">
        <v>536</v>
      </c>
      <c r="K284" t="s">
        <v>537</v>
      </c>
      <c r="L284">
        <v>1348</v>
      </c>
      <c r="N284">
        <v>1009</v>
      </c>
      <c r="O284" t="s">
        <v>487</v>
      </c>
      <c r="P284" t="s">
        <v>487</v>
      </c>
      <c r="Q284">
        <v>1000</v>
      </c>
      <c r="X284">
        <v>8.9999999999999998E-4</v>
      </c>
      <c r="Y284">
        <v>150966.31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325</v>
      </c>
      <c r="AG284">
        <v>5.9999999999999995E-4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ROW(Source!A522)</f>
        <v>522</v>
      </c>
      <c r="B285">
        <v>1407493277</v>
      </c>
      <c r="C285">
        <v>1407493256</v>
      </c>
      <c r="D285">
        <v>1364552258</v>
      </c>
      <c r="E285">
        <v>1</v>
      </c>
      <c r="F285">
        <v>1</v>
      </c>
      <c r="G285">
        <v>39</v>
      </c>
      <c r="H285">
        <v>3</v>
      </c>
      <c r="I285" t="s">
        <v>547</v>
      </c>
      <c r="J285" t="s">
        <v>548</v>
      </c>
      <c r="K285" t="s">
        <v>549</v>
      </c>
      <c r="L285">
        <v>1348</v>
      </c>
      <c r="N285">
        <v>1009</v>
      </c>
      <c r="O285" t="s">
        <v>487</v>
      </c>
      <c r="P285" t="s">
        <v>487</v>
      </c>
      <c r="Q285">
        <v>1000</v>
      </c>
      <c r="X285">
        <v>2.9999999999999997E-4</v>
      </c>
      <c r="Y285">
        <v>206648.23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325</v>
      </c>
      <c r="AG285">
        <v>1.9999999999999998E-4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ROW(Source!A522)</f>
        <v>522</v>
      </c>
      <c r="B286">
        <v>1407493278</v>
      </c>
      <c r="C286">
        <v>1407493256</v>
      </c>
      <c r="D286">
        <v>1364551387</v>
      </c>
      <c r="E286">
        <v>1</v>
      </c>
      <c r="F286">
        <v>1</v>
      </c>
      <c r="G286">
        <v>39</v>
      </c>
      <c r="H286">
        <v>3</v>
      </c>
      <c r="I286" t="s">
        <v>564</v>
      </c>
      <c r="J286" t="s">
        <v>565</v>
      </c>
      <c r="K286" t="s">
        <v>566</v>
      </c>
      <c r="L286">
        <v>1339</v>
      </c>
      <c r="N286">
        <v>1007</v>
      </c>
      <c r="O286" t="s">
        <v>459</v>
      </c>
      <c r="P286" t="s">
        <v>459</v>
      </c>
      <c r="Q286">
        <v>1</v>
      </c>
      <c r="X286">
        <v>1.4</v>
      </c>
      <c r="Y286">
        <v>90.88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325</v>
      </c>
      <c r="AG286">
        <v>0.93333333333333324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ROW(Source!A522)</f>
        <v>522</v>
      </c>
      <c r="B287">
        <v>1407493279</v>
      </c>
      <c r="C287">
        <v>1407493256</v>
      </c>
      <c r="D287">
        <v>1364551379</v>
      </c>
      <c r="E287">
        <v>1</v>
      </c>
      <c r="F287">
        <v>1</v>
      </c>
      <c r="G287">
        <v>39</v>
      </c>
      <c r="H287">
        <v>3</v>
      </c>
      <c r="I287" t="s">
        <v>567</v>
      </c>
      <c r="J287" t="s">
        <v>568</v>
      </c>
      <c r="K287" t="s">
        <v>569</v>
      </c>
      <c r="L287">
        <v>1339</v>
      </c>
      <c r="N287">
        <v>1007</v>
      </c>
      <c r="O287" t="s">
        <v>459</v>
      </c>
      <c r="P287" t="s">
        <v>459</v>
      </c>
      <c r="Q287">
        <v>1</v>
      </c>
      <c r="X287">
        <v>0.7</v>
      </c>
      <c r="Y287">
        <v>821.85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325</v>
      </c>
      <c r="AG287">
        <v>0.46666666666666662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ROW(Source!A522)</f>
        <v>522</v>
      </c>
      <c r="B288">
        <v>1407493280</v>
      </c>
      <c r="C288">
        <v>1407493256</v>
      </c>
      <c r="D288">
        <v>1364551423</v>
      </c>
      <c r="E288">
        <v>1</v>
      </c>
      <c r="F288">
        <v>1</v>
      </c>
      <c r="G288">
        <v>39</v>
      </c>
      <c r="H288">
        <v>3</v>
      </c>
      <c r="I288" t="s">
        <v>544</v>
      </c>
      <c r="J288" t="s">
        <v>545</v>
      </c>
      <c r="K288" t="s">
        <v>546</v>
      </c>
      <c r="L288">
        <v>1348</v>
      </c>
      <c r="N288">
        <v>1009</v>
      </c>
      <c r="O288" t="s">
        <v>487</v>
      </c>
      <c r="P288" t="s">
        <v>487</v>
      </c>
      <c r="Q288">
        <v>1000</v>
      </c>
      <c r="X288">
        <v>1E-4</v>
      </c>
      <c r="Y288">
        <v>171739.07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325</v>
      </c>
      <c r="AG288">
        <v>6.666666666666667E-5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ROW(Source!A522)</f>
        <v>522</v>
      </c>
      <c r="B289">
        <v>1407493281</v>
      </c>
      <c r="C289">
        <v>1407493256</v>
      </c>
      <c r="D289">
        <v>1364551386</v>
      </c>
      <c r="E289">
        <v>1</v>
      </c>
      <c r="F289">
        <v>1</v>
      </c>
      <c r="G289">
        <v>39</v>
      </c>
      <c r="H289">
        <v>3</v>
      </c>
      <c r="I289" t="s">
        <v>550</v>
      </c>
      <c r="J289" t="s">
        <v>551</v>
      </c>
      <c r="K289" t="s">
        <v>552</v>
      </c>
      <c r="L289">
        <v>1348</v>
      </c>
      <c r="N289">
        <v>1009</v>
      </c>
      <c r="O289" t="s">
        <v>487</v>
      </c>
      <c r="P289" t="s">
        <v>487</v>
      </c>
      <c r="Q289">
        <v>1000</v>
      </c>
      <c r="X289">
        <v>5.9999999999999995E-4</v>
      </c>
      <c r="Y289">
        <v>130618.52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325</v>
      </c>
      <c r="AG289">
        <v>3.9999999999999996E-4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ROW(Source!A522)</f>
        <v>522</v>
      </c>
      <c r="B290">
        <v>1407493282</v>
      </c>
      <c r="C290">
        <v>1407493256</v>
      </c>
      <c r="D290">
        <v>1364551568</v>
      </c>
      <c r="E290">
        <v>1</v>
      </c>
      <c r="F290">
        <v>1</v>
      </c>
      <c r="G290">
        <v>39</v>
      </c>
      <c r="H290">
        <v>3</v>
      </c>
      <c r="I290" t="s">
        <v>553</v>
      </c>
      <c r="J290" t="s">
        <v>554</v>
      </c>
      <c r="K290" t="s">
        <v>555</v>
      </c>
      <c r="L290">
        <v>1348</v>
      </c>
      <c r="N290">
        <v>1009</v>
      </c>
      <c r="O290" t="s">
        <v>487</v>
      </c>
      <c r="P290" t="s">
        <v>487</v>
      </c>
      <c r="Q290">
        <v>1000</v>
      </c>
      <c r="X290">
        <v>3.4199999999999999E-3</v>
      </c>
      <c r="Y290">
        <v>106124.37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325</v>
      </c>
      <c r="AG290">
        <v>2.2799999999999999E-3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ROW(Source!A522)</f>
        <v>522</v>
      </c>
      <c r="B291">
        <v>1407493283</v>
      </c>
      <c r="C291">
        <v>1407493256</v>
      </c>
      <c r="D291">
        <v>1364549334</v>
      </c>
      <c r="E291">
        <v>39</v>
      </c>
      <c r="F291">
        <v>1</v>
      </c>
      <c r="G291">
        <v>39</v>
      </c>
      <c r="H291">
        <v>3</v>
      </c>
      <c r="I291" t="s">
        <v>556</v>
      </c>
      <c r="J291" t="s">
        <v>3</v>
      </c>
      <c r="K291" t="s">
        <v>557</v>
      </c>
      <c r="L291">
        <v>1348</v>
      </c>
      <c r="N291">
        <v>1009</v>
      </c>
      <c r="O291" t="s">
        <v>487</v>
      </c>
      <c r="P291" t="s">
        <v>487</v>
      </c>
      <c r="Q291">
        <v>1000</v>
      </c>
      <c r="X291">
        <v>3.8000000000000002E-4</v>
      </c>
      <c r="Y291">
        <v>99650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325</v>
      </c>
      <c r="AG291">
        <v>2.5333333333333333E-4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ROW(Source!A523)</f>
        <v>523</v>
      </c>
      <c r="B292">
        <v>1407493289</v>
      </c>
      <c r="C292">
        <v>1407493284</v>
      </c>
      <c r="D292">
        <v>1364549319</v>
      </c>
      <c r="E292">
        <v>39</v>
      </c>
      <c r="F292">
        <v>1</v>
      </c>
      <c r="G292">
        <v>39</v>
      </c>
      <c r="H292">
        <v>1</v>
      </c>
      <c r="I292" t="s">
        <v>449</v>
      </c>
      <c r="J292" t="s">
        <v>3</v>
      </c>
      <c r="K292" t="s">
        <v>450</v>
      </c>
      <c r="L292">
        <v>1191</v>
      </c>
      <c r="N292">
        <v>1013</v>
      </c>
      <c r="O292" t="s">
        <v>451</v>
      </c>
      <c r="P292" t="s">
        <v>451</v>
      </c>
      <c r="Q292">
        <v>1</v>
      </c>
      <c r="X292">
        <v>1.5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1</v>
      </c>
      <c r="AF292" t="s">
        <v>52</v>
      </c>
      <c r="AG292">
        <v>3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ROW(Source!A523)</f>
        <v>523</v>
      </c>
      <c r="B293">
        <v>1407493290</v>
      </c>
      <c r="C293">
        <v>1407493284</v>
      </c>
      <c r="D293">
        <v>1364552913</v>
      </c>
      <c r="E293">
        <v>1</v>
      </c>
      <c r="F293">
        <v>1</v>
      </c>
      <c r="G293">
        <v>39</v>
      </c>
      <c r="H293">
        <v>3</v>
      </c>
      <c r="I293" t="s">
        <v>463</v>
      </c>
      <c r="J293" t="s">
        <v>464</v>
      </c>
      <c r="K293" t="s">
        <v>465</v>
      </c>
      <c r="L293">
        <v>1346</v>
      </c>
      <c r="N293">
        <v>1009</v>
      </c>
      <c r="O293" t="s">
        <v>466</v>
      </c>
      <c r="P293" t="s">
        <v>466</v>
      </c>
      <c r="Q293">
        <v>1</v>
      </c>
      <c r="X293">
        <v>4.1999999999999997E-3</v>
      </c>
      <c r="Y293">
        <v>26.09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52</v>
      </c>
      <c r="AG293">
        <v>8.3999999999999995E-3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ROW(Source!A524)</f>
        <v>524</v>
      </c>
      <c r="B294">
        <v>1407493296</v>
      </c>
      <c r="C294">
        <v>1407493291</v>
      </c>
      <c r="D294">
        <v>1364549319</v>
      </c>
      <c r="E294">
        <v>39</v>
      </c>
      <c r="F294">
        <v>1</v>
      </c>
      <c r="G294">
        <v>39</v>
      </c>
      <c r="H294">
        <v>1</v>
      </c>
      <c r="I294" t="s">
        <v>449</v>
      </c>
      <c r="J294" t="s">
        <v>3</v>
      </c>
      <c r="K294" t="s">
        <v>450</v>
      </c>
      <c r="L294">
        <v>1191</v>
      </c>
      <c r="N294">
        <v>1013</v>
      </c>
      <c r="O294" t="s">
        <v>451</v>
      </c>
      <c r="P294" t="s">
        <v>451</v>
      </c>
      <c r="Q294">
        <v>1</v>
      </c>
      <c r="X294">
        <v>2.78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52</v>
      </c>
      <c r="AG294">
        <v>5.56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ROW(Source!A524)</f>
        <v>524</v>
      </c>
      <c r="B295">
        <v>1407493297</v>
      </c>
      <c r="C295">
        <v>1407493291</v>
      </c>
      <c r="D295">
        <v>1364552913</v>
      </c>
      <c r="E295">
        <v>1</v>
      </c>
      <c r="F295">
        <v>1</v>
      </c>
      <c r="G295">
        <v>39</v>
      </c>
      <c r="H295">
        <v>3</v>
      </c>
      <c r="I295" t="s">
        <v>463</v>
      </c>
      <c r="J295" t="s">
        <v>464</v>
      </c>
      <c r="K295" t="s">
        <v>465</v>
      </c>
      <c r="L295">
        <v>1346</v>
      </c>
      <c r="N295">
        <v>1009</v>
      </c>
      <c r="O295" t="s">
        <v>466</v>
      </c>
      <c r="P295" t="s">
        <v>466</v>
      </c>
      <c r="Q295">
        <v>1</v>
      </c>
      <c r="X295">
        <v>4.0000000000000001E-3</v>
      </c>
      <c r="Y295">
        <v>26.09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52</v>
      </c>
      <c r="AG295">
        <v>8.0000000000000002E-3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ROW(Source!A525)</f>
        <v>525</v>
      </c>
      <c r="B296">
        <v>1407493305</v>
      </c>
      <c r="C296">
        <v>1407493298</v>
      </c>
      <c r="D296">
        <v>1364549319</v>
      </c>
      <c r="E296">
        <v>39</v>
      </c>
      <c r="F296">
        <v>1</v>
      </c>
      <c r="G296">
        <v>39</v>
      </c>
      <c r="H296">
        <v>1</v>
      </c>
      <c r="I296" t="s">
        <v>449</v>
      </c>
      <c r="J296" t="s">
        <v>3</v>
      </c>
      <c r="K296" t="s">
        <v>450</v>
      </c>
      <c r="L296">
        <v>1191</v>
      </c>
      <c r="N296">
        <v>1013</v>
      </c>
      <c r="O296" t="s">
        <v>451</v>
      </c>
      <c r="P296" t="s">
        <v>451</v>
      </c>
      <c r="Q296">
        <v>1</v>
      </c>
      <c r="X296">
        <v>7.98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1</v>
      </c>
      <c r="AF296" t="s">
        <v>3</v>
      </c>
      <c r="AG296">
        <v>7.98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ROW(Source!A525)</f>
        <v>525</v>
      </c>
      <c r="B297">
        <v>1407493306</v>
      </c>
      <c r="C297">
        <v>1407493298</v>
      </c>
      <c r="D297">
        <v>1364552913</v>
      </c>
      <c r="E297">
        <v>1</v>
      </c>
      <c r="F297">
        <v>1</v>
      </c>
      <c r="G297">
        <v>39</v>
      </c>
      <c r="H297">
        <v>3</v>
      </c>
      <c r="I297" t="s">
        <v>463</v>
      </c>
      <c r="J297" t="s">
        <v>464</v>
      </c>
      <c r="K297" t="s">
        <v>465</v>
      </c>
      <c r="L297">
        <v>1346</v>
      </c>
      <c r="N297">
        <v>1009</v>
      </c>
      <c r="O297" t="s">
        <v>466</v>
      </c>
      <c r="P297" t="s">
        <v>466</v>
      </c>
      <c r="Q297">
        <v>1</v>
      </c>
      <c r="X297">
        <v>0.06</v>
      </c>
      <c r="Y297">
        <v>26.09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0.06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ROW(Source!A525)</f>
        <v>525</v>
      </c>
      <c r="B298">
        <v>1407493307</v>
      </c>
      <c r="C298">
        <v>1407493298</v>
      </c>
      <c r="D298">
        <v>1364549559</v>
      </c>
      <c r="E298">
        <v>39</v>
      </c>
      <c r="F298">
        <v>1</v>
      </c>
      <c r="G298">
        <v>39</v>
      </c>
      <c r="H298">
        <v>3</v>
      </c>
      <c r="I298" t="s">
        <v>603</v>
      </c>
      <c r="J298" t="s">
        <v>3</v>
      </c>
      <c r="K298" t="s">
        <v>604</v>
      </c>
      <c r="L298">
        <v>1346</v>
      </c>
      <c r="N298">
        <v>1009</v>
      </c>
      <c r="O298" t="s">
        <v>466</v>
      </c>
      <c r="P298" t="s">
        <v>466</v>
      </c>
      <c r="Q298">
        <v>1</v>
      </c>
      <c r="X298">
        <v>0.05</v>
      </c>
      <c r="Y298">
        <v>91.55865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0.05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ROW(Source!A561)</f>
        <v>561</v>
      </c>
      <c r="B299">
        <v>1407493321</v>
      </c>
      <c r="C299">
        <v>1407493308</v>
      </c>
      <c r="D299">
        <v>1364549319</v>
      </c>
      <c r="E299">
        <v>39</v>
      </c>
      <c r="F299">
        <v>1</v>
      </c>
      <c r="G299">
        <v>39</v>
      </c>
      <c r="H299">
        <v>1</v>
      </c>
      <c r="I299" t="s">
        <v>449</v>
      </c>
      <c r="J299" t="s">
        <v>3</v>
      </c>
      <c r="K299" t="s">
        <v>450</v>
      </c>
      <c r="L299">
        <v>1191</v>
      </c>
      <c r="N299">
        <v>1013</v>
      </c>
      <c r="O299" t="s">
        <v>451</v>
      </c>
      <c r="P299" t="s">
        <v>451</v>
      </c>
      <c r="Q299">
        <v>1</v>
      </c>
      <c r="X299">
        <v>13.13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3</v>
      </c>
      <c r="AG299">
        <v>13.13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ROW(Source!A561)</f>
        <v>561</v>
      </c>
      <c r="B300">
        <v>1407493322</v>
      </c>
      <c r="C300">
        <v>1407493308</v>
      </c>
      <c r="D300">
        <v>1364550902</v>
      </c>
      <c r="E300">
        <v>1</v>
      </c>
      <c r="F300">
        <v>1</v>
      </c>
      <c r="G300">
        <v>39</v>
      </c>
      <c r="H300">
        <v>2</v>
      </c>
      <c r="I300" t="s">
        <v>605</v>
      </c>
      <c r="J300" t="s">
        <v>606</v>
      </c>
      <c r="K300" t="s">
        <v>607</v>
      </c>
      <c r="L300">
        <v>1368</v>
      </c>
      <c r="N300">
        <v>1011</v>
      </c>
      <c r="O300" t="s">
        <v>455</v>
      </c>
      <c r="P300" t="s">
        <v>455</v>
      </c>
      <c r="Q300">
        <v>1</v>
      </c>
      <c r="X300">
        <v>1.7</v>
      </c>
      <c r="Y300">
        <v>0</v>
      </c>
      <c r="Z300">
        <v>38.18</v>
      </c>
      <c r="AA300">
        <v>2.13</v>
      </c>
      <c r="AB300">
        <v>0</v>
      </c>
      <c r="AC300">
        <v>0</v>
      </c>
      <c r="AD300">
        <v>1</v>
      </c>
      <c r="AE300">
        <v>0</v>
      </c>
      <c r="AF300" t="s">
        <v>3</v>
      </c>
      <c r="AG300">
        <v>1.7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ROW(Source!A561)</f>
        <v>561</v>
      </c>
      <c r="B301">
        <v>1407493323</v>
      </c>
      <c r="C301">
        <v>1407493308</v>
      </c>
      <c r="D301">
        <v>1364550907</v>
      </c>
      <c r="E301">
        <v>1</v>
      </c>
      <c r="F301">
        <v>1</v>
      </c>
      <c r="G301">
        <v>39</v>
      </c>
      <c r="H301">
        <v>2</v>
      </c>
      <c r="I301" t="s">
        <v>608</v>
      </c>
      <c r="J301" t="s">
        <v>609</v>
      </c>
      <c r="K301" t="s">
        <v>610</v>
      </c>
      <c r="L301">
        <v>1368</v>
      </c>
      <c r="N301">
        <v>1011</v>
      </c>
      <c r="O301" t="s">
        <v>455</v>
      </c>
      <c r="P301" t="s">
        <v>455</v>
      </c>
      <c r="Q301">
        <v>1</v>
      </c>
      <c r="X301">
        <v>1.7</v>
      </c>
      <c r="Y301">
        <v>0</v>
      </c>
      <c r="Z301">
        <v>49.97</v>
      </c>
      <c r="AA301">
        <v>2.48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1.7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ROW(Source!A561)</f>
        <v>561</v>
      </c>
      <c r="B302">
        <v>1407493324</v>
      </c>
      <c r="C302">
        <v>1407493308</v>
      </c>
      <c r="D302">
        <v>1364551021</v>
      </c>
      <c r="E302">
        <v>1</v>
      </c>
      <c r="F302">
        <v>1</v>
      </c>
      <c r="G302">
        <v>39</v>
      </c>
      <c r="H302">
        <v>2</v>
      </c>
      <c r="I302" t="s">
        <v>470</v>
      </c>
      <c r="J302" t="s">
        <v>471</v>
      </c>
      <c r="K302" t="s">
        <v>472</v>
      </c>
      <c r="L302">
        <v>1368</v>
      </c>
      <c r="N302">
        <v>1011</v>
      </c>
      <c r="O302" t="s">
        <v>455</v>
      </c>
      <c r="P302" t="s">
        <v>455</v>
      </c>
      <c r="Q302">
        <v>1</v>
      </c>
      <c r="X302">
        <v>3.31</v>
      </c>
      <c r="Y302">
        <v>0</v>
      </c>
      <c r="Z302">
        <v>1490.46</v>
      </c>
      <c r="AA302">
        <v>808.44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3.31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ROW(Source!A561)</f>
        <v>561</v>
      </c>
      <c r="B303">
        <v>1407493325</v>
      </c>
      <c r="C303">
        <v>1407493308</v>
      </c>
      <c r="D303">
        <v>1364551087</v>
      </c>
      <c r="E303">
        <v>1</v>
      </c>
      <c r="F303">
        <v>1</v>
      </c>
      <c r="G303">
        <v>39</v>
      </c>
      <c r="H303">
        <v>2</v>
      </c>
      <c r="I303" t="s">
        <v>500</v>
      </c>
      <c r="J303" t="s">
        <v>501</v>
      </c>
      <c r="K303" t="s">
        <v>502</v>
      </c>
      <c r="L303">
        <v>1368</v>
      </c>
      <c r="N303">
        <v>1011</v>
      </c>
      <c r="O303" t="s">
        <v>455</v>
      </c>
      <c r="P303" t="s">
        <v>455</v>
      </c>
      <c r="Q303">
        <v>1</v>
      </c>
      <c r="X303">
        <v>0.4</v>
      </c>
      <c r="Y303">
        <v>0</v>
      </c>
      <c r="Z303">
        <v>7.44</v>
      </c>
      <c r="AA303">
        <v>0.01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0.4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ROW(Source!A561)</f>
        <v>561</v>
      </c>
      <c r="B304">
        <v>1407493326</v>
      </c>
      <c r="C304">
        <v>1407493308</v>
      </c>
      <c r="D304">
        <v>1364552913</v>
      </c>
      <c r="E304">
        <v>1</v>
      </c>
      <c r="F304">
        <v>1</v>
      </c>
      <c r="G304">
        <v>39</v>
      </c>
      <c r="H304">
        <v>3</v>
      </c>
      <c r="I304" t="s">
        <v>463</v>
      </c>
      <c r="J304" t="s">
        <v>464</v>
      </c>
      <c r="K304" t="s">
        <v>465</v>
      </c>
      <c r="L304">
        <v>1346</v>
      </c>
      <c r="N304">
        <v>1009</v>
      </c>
      <c r="O304" t="s">
        <v>466</v>
      </c>
      <c r="P304" t="s">
        <v>466</v>
      </c>
      <c r="Q304">
        <v>1</v>
      </c>
      <c r="X304">
        <v>0.15</v>
      </c>
      <c r="Y304">
        <v>26.09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0.15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ROW(Source!A562)</f>
        <v>562</v>
      </c>
      <c r="B305">
        <v>1407493338</v>
      </c>
      <c r="C305">
        <v>1407493327</v>
      </c>
      <c r="D305">
        <v>1364549319</v>
      </c>
      <c r="E305">
        <v>39</v>
      </c>
      <c r="F305">
        <v>1</v>
      </c>
      <c r="G305">
        <v>39</v>
      </c>
      <c r="H305">
        <v>1</v>
      </c>
      <c r="I305" t="s">
        <v>449</v>
      </c>
      <c r="J305" t="s">
        <v>3</v>
      </c>
      <c r="K305" t="s">
        <v>450</v>
      </c>
      <c r="L305">
        <v>1191</v>
      </c>
      <c r="N305">
        <v>1013</v>
      </c>
      <c r="O305" t="s">
        <v>451</v>
      </c>
      <c r="P305" t="s">
        <v>451</v>
      </c>
      <c r="Q305">
        <v>1</v>
      </c>
      <c r="X305">
        <v>2.1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3</v>
      </c>
      <c r="AG305">
        <v>2.1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ROW(Source!A562)</f>
        <v>562</v>
      </c>
      <c r="B306">
        <v>1407493339</v>
      </c>
      <c r="C306">
        <v>1407493327</v>
      </c>
      <c r="D306">
        <v>1364550903</v>
      </c>
      <c r="E306">
        <v>1</v>
      </c>
      <c r="F306">
        <v>1</v>
      </c>
      <c r="G306">
        <v>39</v>
      </c>
      <c r="H306">
        <v>2</v>
      </c>
      <c r="I306" t="s">
        <v>611</v>
      </c>
      <c r="J306" t="s">
        <v>612</v>
      </c>
      <c r="K306" t="s">
        <v>613</v>
      </c>
      <c r="L306">
        <v>1368</v>
      </c>
      <c r="N306">
        <v>1011</v>
      </c>
      <c r="O306" t="s">
        <v>455</v>
      </c>
      <c r="P306" t="s">
        <v>455</v>
      </c>
      <c r="Q306">
        <v>1</v>
      </c>
      <c r="X306">
        <v>0.3</v>
      </c>
      <c r="Y306">
        <v>0</v>
      </c>
      <c r="Z306">
        <v>9.69</v>
      </c>
      <c r="AA306">
        <v>0.13</v>
      </c>
      <c r="AB306">
        <v>0</v>
      </c>
      <c r="AC306">
        <v>0</v>
      </c>
      <c r="AD306">
        <v>1</v>
      </c>
      <c r="AE306">
        <v>0</v>
      </c>
      <c r="AF306" t="s">
        <v>3</v>
      </c>
      <c r="AG306">
        <v>0.3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ROW(Source!A562)</f>
        <v>562</v>
      </c>
      <c r="B307">
        <v>1407493340</v>
      </c>
      <c r="C307">
        <v>1407493327</v>
      </c>
      <c r="D307">
        <v>1364551021</v>
      </c>
      <c r="E307">
        <v>1</v>
      </c>
      <c r="F307">
        <v>1</v>
      </c>
      <c r="G307">
        <v>39</v>
      </c>
      <c r="H307">
        <v>2</v>
      </c>
      <c r="I307" t="s">
        <v>470</v>
      </c>
      <c r="J307" t="s">
        <v>471</v>
      </c>
      <c r="K307" t="s">
        <v>472</v>
      </c>
      <c r="L307">
        <v>1368</v>
      </c>
      <c r="N307">
        <v>1011</v>
      </c>
      <c r="O307" t="s">
        <v>455</v>
      </c>
      <c r="P307" t="s">
        <v>455</v>
      </c>
      <c r="Q307">
        <v>1</v>
      </c>
      <c r="X307">
        <v>0.52</v>
      </c>
      <c r="Y307">
        <v>0</v>
      </c>
      <c r="Z307">
        <v>1490.46</v>
      </c>
      <c r="AA307">
        <v>808.44</v>
      </c>
      <c r="AB307">
        <v>0</v>
      </c>
      <c r="AC307">
        <v>0</v>
      </c>
      <c r="AD307">
        <v>1</v>
      </c>
      <c r="AE307">
        <v>0</v>
      </c>
      <c r="AF307" t="s">
        <v>3</v>
      </c>
      <c r="AG307">
        <v>0.52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ROW(Source!A562)</f>
        <v>562</v>
      </c>
      <c r="B308">
        <v>1407493341</v>
      </c>
      <c r="C308">
        <v>1407493327</v>
      </c>
      <c r="D308">
        <v>1364553063</v>
      </c>
      <c r="E308">
        <v>1</v>
      </c>
      <c r="F308">
        <v>1</v>
      </c>
      <c r="G308">
        <v>39</v>
      </c>
      <c r="H308">
        <v>3</v>
      </c>
      <c r="I308" t="s">
        <v>538</v>
      </c>
      <c r="J308" t="s">
        <v>539</v>
      </c>
      <c r="K308" t="s">
        <v>540</v>
      </c>
      <c r="L308">
        <v>1296</v>
      </c>
      <c r="N308">
        <v>1002</v>
      </c>
      <c r="O308" t="s">
        <v>480</v>
      </c>
      <c r="P308" t="s">
        <v>480</v>
      </c>
      <c r="Q308">
        <v>1</v>
      </c>
      <c r="X308">
        <v>3.8E-3</v>
      </c>
      <c r="Y308">
        <v>4237.25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</v>
      </c>
      <c r="AG308">
        <v>3.8E-3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ROW(Source!A562)</f>
        <v>562</v>
      </c>
      <c r="B309">
        <v>1407493342</v>
      </c>
      <c r="C309">
        <v>1407493327</v>
      </c>
      <c r="D309">
        <v>1364553125</v>
      </c>
      <c r="E309">
        <v>1</v>
      </c>
      <c r="F309">
        <v>1</v>
      </c>
      <c r="G309">
        <v>39</v>
      </c>
      <c r="H309">
        <v>3</v>
      </c>
      <c r="I309" t="s">
        <v>456</v>
      </c>
      <c r="J309" t="s">
        <v>457</v>
      </c>
      <c r="K309" t="s">
        <v>458</v>
      </c>
      <c r="L309">
        <v>1339</v>
      </c>
      <c r="N309">
        <v>1007</v>
      </c>
      <c r="O309" t="s">
        <v>459</v>
      </c>
      <c r="P309" t="s">
        <v>459</v>
      </c>
      <c r="Q309">
        <v>1</v>
      </c>
      <c r="X309">
        <v>3.8E-3</v>
      </c>
      <c r="Y309">
        <v>49.83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</v>
      </c>
      <c r="AG309">
        <v>3.8E-3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СН-2012 по гл. 1-5</vt:lpstr>
      <vt:lpstr>Source</vt:lpstr>
      <vt:lpstr>SourceObSm</vt:lpstr>
      <vt:lpstr>SmtRes</vt:lpstr>
      <vt:lpstr>EtalonRes</vt:lpstr>
      <vt:lpstr>SrcKA</vt:lpstr>
      <vt:lpstr>'Смета СН-2012 по гл. 1-5'!Заголовки_для_печати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2025-08-04T17:13:15Z</dcterms:created>
  <dcterms:modified xsi:type="dcterms:W3CDTF">2025-08-05T05:17:21Z</dcterms:modified>
</cp:coreProperties>
</file>